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inance\Shared\FINANCIAL PLANNING AND RATES\Rating Agency (new folder)\Fitch - Oct 2019\"/>
    </mc:Choice>
  </mc:AlternateContent>
  <bookViews>
    <workbookView xWindow="0" yWindow="0" windowWidth="28800" windowHeight="12000"/>
  </bookViews>
  <sheets>
    <sheet name="Assumptions " sheetId="7" r:id="rId1"/>
    <sheet name="E BS" sheetId="4" r:id="rId2"/>
    <sheet name="E IS" sheetId="2" r:id="rId3"/>
    <sheet name="E CF - Acctg" sheetId="5" r:id="rId4"/>
    <sheet name="E DSC Summary" sheetId="3" r:id="rId5"/>
  </sheets>
  <externalReferences>
    <externalReference r:id="rId6"/>
    <externalReference r:id="rId7"/>
    <externalReference r:id="rId8"/>
    <externalReference r:id="rId9"/>
  </externalReferences>
  <definedNames>
    <definedName name="_____key2" localSheetId="0" hidden="1">#REF!</definedName>
    <definedName name="_____key2" hidden="1">#REF!</definedName>
    <definedName name="____key2" localSheetId="0" hidden="1">#REF!</definedName>
    <definedName name="____key2" hidden="1">#REF!</definedName>
    <definedName name="___key2" localSheetId="0" hidden="1">#REF!</definedName>
    <definedName name="___key2" hidden="1">#REF!</definedName>
    <definedName name="__123Graph_AHRLOW" localSheetId="0" hidden="1">[1]DHRC!#REF!</definedName>
    <definedName name="__123Graph_AHRLOW" localSheetId="4" hidden="1">[1]DHRC!#REF!</definedName>
    <definedName name="__123Graph_AHRLOW" hidden="1">[1]DHRC!#REF!</definedName>
    <definedName name="__123Graph_AIHRLOW" localSheetId="0" hidden="1">[1]DHRC!#REF!</definedName>
    <definedName name="__123Graph_AIHRLOW" localSheetId="4" hidden="1">[1]DHRC!#REF!</definedName>
    <definedName name="__123Graph_AIHRLOW" hidden="1">[1]DHRC!#REF!</definedName>
    <definedName name="__123Graph_B" localSheetId="0" hidden="1">'[2]Series B'!$L$11:$L$11</definedName>
    <definedName name="__123Graph_B" localSheetId="4" hidden="1">'[3]Series B'!$L$11:$L$11</definedName>
    <definedName name="__123Graph_B" hidden="1">'[4]Series B'!$L$11:$L$11</definedName>
    <definedName name="__123Graph_BHRLOW" localSheetId="0" hidden="1">[1]DHRC!#REF!</definedName>
    <definedName name="__123Graph_BHRLOW" localSheetId="4" hidden="1">[1]DHRC!#REF!</definedName>
    <definedName name="__123Graph_BHRLOW" hidden="1">[1]DHRC!#REF!</definedName>
    <definedName name="__123Graph_BIHRLOW" localSheetId="0" hidden="1">[1]DHRC!#REF!</definedName>
    <definedName name="__123Graph_BIHRLOW" localSheetId="4" hidden="1">[1]DHRC!#REF!</definedName>
    <definedName name="__123Graph_BIHRLOW" hidden="1">[1]DHRC!#REF!</definedName>
    <definedName name="__123Graph_C" localSheetId="0" hidden="1">'[2]Series B'!$L$11:$L$11</definedName>
    <definedName name="__123Graph_C" localSheetId="4" hidden="1">'[3]Series B'!$L$11:$L$11</definedName>
    <definedName name="__123Graph_C" hidden="1">'[4]Series B'!$L$11:$L$11</definedName>
    <definedName name="__123Graph_D" localSheetId="0" hidden="1">'[2]Series B'!$L$11:$L$11</definedName>
    <definedName name="__123Graph_D" localSheetId="4" hidden="1">'[3]Series B'!$L$11:$L$11</definedName>
    <definedName name="__123Graph_D" hidden="1">'[4]Series B'!$L$11:$L$11</definedName>
    <definedName name="__123Graph_DHRSP" localSheetId="0" hidden="1">[1]DHRC!#REF!</definedName>
    <definedName name="__123Graph_DHRSP" localSheetId="4" hidden="1">[1]DHRC!#REF!</definedName>
    <definedName name="__123Graph_DHRSP" hidden="1">[1]DHRC!#REF!</definedName>
    <definedName name="__123Graph_DIHRSP" localSheetId="0" hidden="1">[1]DHRC!#REF!</definedName>
    <definedName name="__123Graph_DIHRSP" localSheetId="4" hidden="1">[1]DHRC!#REF!</definedName>
    <definedName name="__123Graph_DIHRSP" hidden="1">[1]DHRC!#REF!</definedName>
    <definedName name="__123Graph_E" localSheetId="0" hidden="1">'[2]Series B'!$L$11:$L$11</definedName>
    <definedName name="__123Graph_E" localSheetId="4" hidden="1">'[3]Series B'!$L$11:$L$11</definedName>
    <definedName name="__123Graph_E" hidden="1">'[4]Series B'!$L$11:$L$11</definedName>
    <definedName name="__123Graph_F" localSheetId="0" hidden="1">'[2]Series B'!$L$11:$L$11</definedName>
    <definedName name="__123Graph_F" localSheetId="4" hidden="1">'[3]Series B'!$L$11:$L$11</definedName>
    <definedName name="__123Graph_F" hidden="1">'[4]Series B'!$L$11:$L$11</definedName>
    <definedName name="__123Graph_FHRHIGH" localSheetId="0" hidden="1">[1]DHRC!#REF!</definedName>
    <definedName name="__123Graph_FHRHIGH" localSheetId="4" hidden="1">[1]DHRC!#REF!</definedName>
    <definedName name="__123Graph_FHRHIGH" hidden="1">[1]DHRC!#REF!</definedName>
    <definedName name="__123Graph_FHRSP" localSheetId="0" hidden="1">[1]DHRC!#REF!</definedName>
    <definedName name="__123Graph_FHRSP" localSheetId="4" hidden="1">[1]DHRC!#REF!</definedName>
    <definedName name="__123Graph_FHRSP" hidden="1">[1]DHRC!#REF!</definedName>
    <definedName name="__123Graph_FIHRHIGH" localSheetId="0" hidden="1">[1]DHRC!#REF!</definedName>
    <definedName name="__123Graph_FIHRHIGH" localSheetId="4" hidden="1">[1]DHRC!#REF!</definedName>
    <definedName name="__123Graph_FIHRHIGH" hidden="1">[1]DHRC!#REF!</definedName>
    <definedName name="__123Graph_FIHRSP" localSheetId="0" hidden="1">[1]DHRC!#REF!</definedName>
    <definedName name="__123Graph_FIHRSP" localSheetId="4" hidden="1">[1]DHRC!#REF!</definedName>
    <definedName name="__123Graph_FIHRSP" hidden="1">[1]DHRC!#REF!</definedName>
    <definedName name="__key2" localSheetId="0" hidden="1">#REF!</definedName>
    <definedName name="__key2" localSheetId="4" hidden="1">#REF!</definedName>
    <definedName name="__key2" hidden="1">#REF!</definedName>
    <definedName name="_key" hidden="1">#REF!</definedName>
    <definedName name="_Key1" localSheetId="0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4" hidden="1">#REF!</definedName>
    <definedName name="_Key2" localSheetId="2" hidden="1">#REF!</definedName>
    <definedName name="_Key2" hidden="1">#REF!</definedName>
    <definedName name="_Order1" hidden="1">255</definedName>
    <definedName name="_Order2" localSheetId="4" hidden="1">0</definedName>
    <definedName name="_Order2" hidden="1">255</definedName>
    <definedName name="_Sort" localSheetId="0" hidden="1">#REF!</definedName>
    <definedName name="_Sort" localSheetId="4" hidden="1">#REF!</definedName>
    <definedName name="_Sort" localSheetId="2" hidden="1">#REF!</definedName>
    <definedName name="_Sort" hidden="1">#REF!</definedName>
    <definedName name="anscount" hidden="1">1</definedName>
    <definedName name="_xlnm.Print_Area" localSheetId="0">'Assumptions '!$A$1:$N$14</definedName>
    <definedName name="_xlnm.Print_Area" localSheetId="3">'E CF - Acctg'!$A$1:$G$47</definedName>
    <definedName name="_xlnm.Print_Area" localSheetId="2">'E IS'!$A$1:$G$48</definedName>
    <definedName name="sencount" hidden="1">1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5" l="1"/>
  <c r="C45" i="5" s="1"/>
  <c r="D44" i="5" s="1"/>
  <c r="D45" i="5" s="1"/>
  <c r="E44" i="5" s="1"/>
  <c r="E45" i="5" s="1"/>
  <c r="F44" i="5" s="1"/>
  <c r="F45" i="5" s="1"/>
  <c r="G44" i="5" s="1"/>
  <c r="G45" i="5" s="1"/>
  <c r="B44" i="5" l="1"/>
  <c r="B45" i="5"/>
  <c r="B43" i="5" s="1"/>
  <c r="B47" i="5"/>
  <c r="B46" i="5"/>
  <c r="C6" i="5"/>
  <c r="D6" i="5" s="1"/>
  <c r="E6" i="5" s="1"/>
  <c r="F6" i="5" s="1"/>
  <c r="G6" i="5" s="1"/>
  <c r="F3" i="2"/>
  <c r="B139" i="4"/>
  <c r="B131" i="4"/>
  <c r="B136" i="4" s="1"/>
  <c r="B123" i="4"/>
  <c r="B112" i="4"/>
  <c r="B114" i="4" s="1"/>
  <c r="B103" i="4"/>
  <c r="B94" i="4"/>
  <c r="B96" i="4" s="1"/>
  <c r="B87" i="4"/>
  <c r="C87" i="4" s="1"/>
  <c r="D87" i="4" s="1"/>
  <c r="E87" i="4" s="1"/>
  <c r="F87" i="4" s="1"/>
  <c r="G87" i="4" s="1"/>
  <c r="A87" i="4"/>
  <c r="G84" i="4"/>
  <c r="B77" i="4"/>
  <c r="B62" i="4"/>
  <c r="B64" i="4" s="1"/>
  <c r="B52" i="4"/>
  <c r="B56" i="4" s="1"/>
  <c r="B41" i="4"/>
  <c r="B140" i="4" s="1"/>
  <c r="B19" i="4"/>
  <c r="B141" i="4" s="1"/>
  <c r="C6" i="4"/>
  <c r="C88" i="4" s="1"/>
  <c r="G3" i="4"/>
  <c r="L48" i="3"/>
  <c r="K48" i="3"/>
  <c r="J48" i="3"/>
  <c r="I48" i="3"/>
  <c r="H48" i="3"/>
  <c r="G48" i="3"/>
  <c r="F48" i="3"/>
  <c r="L46" i="3"/>
  <c r="K46" i="3"/>
  <c r="J46" i="3"/>
  <c r="I46" i="3"/>
  <c r="H46" i="3"/>
  <c r="G46" i="3"/>
  <c r="E45" i="3"/>
  <c r="E46" i="3" s="1"/>
  <c r="L44" i="3"/>
  <c r="L43" i="3"/>
  <c r="L38" i="3"/>
  <c r="K37" i="3"/>
  <c r="J37" i="3"/>
  <c r="I37" i="3"/>
  <c r="H37" i="3"/>
  <c r="G37" i="3"/>
  <c r="F37" i="3"/>
  <c r="E33" i="3"/>
  <c r="L32" i="3"/>
  <c r="L33" i="3" s="1"/>
  <c r="L30" i="3"/>
  <c r="L29" i="3" s="1"/>
  <c r="K25" i="3"/>
  <c r="J25" i="3"/>
  <c r="I25" i="3"/>
  <c r="H25" i="3"/>
  <c r="G25" i="3"/>
  <c r="F25" i="3"/>
  <c r="E25" i="3"/>
  <c r="D25" i="3"/>
  <c r="L24" i="3"/>
  <c r="L23" i="3"/>
  <c r="L22" i="3"/>
  <c r="L21" i="3"/>
  <c r="L25" i="3" s="1"/>
  <c r="K19" i="3"/>
  <c r="J19" i="3"/>
  <c r="I19" i="3"/>
  <c r="H19" i="3"/>
  <c r="G19" i="3"/>
  <c r="F19" i="3"/>
  <c r="E19" i="3"/>
  <c r="D19" i="3"/>
  <c r="L14" i="3"/>
  <c r="L13" i="3"/>
  <c r="L7" i="3"/>
  <c r="L6" i="3"/>
  <c r="L19" i="3" s="1"/>
  <c r="B2" i="3"/>
  <c r="B47" i="2"/>
  <c r="G42" i="2"/>
  <c r="K38" i="3" s="1"/>
  <c r="F42" i="2"/>
  <c r="J38" i="3" s="1"/>
  <c r="E42" i="2"/>
  <c r="I38" i="3" s="1"/>
  <c r="D42" i="2"/>
  <c r="H38" i="3" s="1"/>
  <c r="C42" i="2"/>
  <c r="G38" i="3" s="1"/>
  <c r="B42" i="2"/>
  <c r="F38" i="3" s="1"/>
  <c r="G35" i="2"/>
  <c r="F35" i="2"/>
  <c r="E35" i="2"/>
  <c r="D35" i="2"/>
  <c r="C35" i="2"/>
  <c r="B35" i="2"/>
  <c r="G19" i="2"/>
  <c r="F19" i="2"/>
  <c r="E19" i="2"/>
  <c r="D19" i="2"/>
  <c r="C19" i="2"/>
  <c r="B19" i="2"/>
  <c r="G10" i="2"/>
  <c r="F10" i="2"/>
  <c r="E10" i="2"/>
  <c r="E21" i="2" s="1"/>
  <c r="D10" i="2"/>
  <c r="C10" i="2"/>
  <c r="B10" i="2"/>
  <c r="D5" i="2"/>
  <c r="E5" i="2" s="1"/>
  <c r="F5" i="2" s="1"/>
  <c r="G5" i="2" s="1"/>
  <c r="C5" i="2"/>
  <c r="F26" i="3" l="1"/>
  <c r="F40" i="3" s="1"/>
  <c r="C21" i="2"/>
  <c r="E37" i="2"/>
  <c r="E44" i="2" s="1"/>
  <c r="B21" i="2"/>
  <c r="B37" i="2" s="1"/>
  <c r="F21" i="2"/>
  <c r="F37" i="2" s="1"/>
  <c r="F44" i="2" s="1"/>
  <c r="G21" i="2"/>
  <c r="G37" i="2" s="1"/>
  <c r="G44" i="2" s="1"/>
  <c r="B44" i="2"/>
  <c r="B48" i="2" s="1"/>
  <c r="C45" i="2" s="1"/>
  <c r="C47" i="2" s="1"/>
  <c r="D21" i="2"/>
  <c r="D37" i="2" s="1"/>
  <c r="D44" i="2" s="1"/>
  <c r="B29" i="4"/>
  <c r="B66" i="4" s="1"/>
  <c r="B79" i="4" s="1"/>
  <c r="D6" i="4"/>
  <c r="E6" i="4" s="1"/>
  <c r="E88" i="4" s="1"/>
  <c r="B142" i="4"/>
  <c r="F6" i="4"/>
  <c r="B125" i="4"/>
  <c r="C37" i="2"/>
  <c r="C44" i="2" s="1"/>
  <c r="E26" i="3"/>
  <c r="E40" i="3" s="1"/>
  <c r="G26" i="3"/>
  <c r="G39" i="3" s="1"/>
  <c r="I26" i="3"/>
  <c r="I41" i="3" s="1"/>
  <c r="D26" i="3"/>
  <c r="J26" i="3"/>
  <c r="J40" i="3" s="1"/>
  <c r="K26" i="3"/>
  <c r="K41" i="3" s="1"/>
  <c r="H26" i="3"/>
  <c r="H39" i="3" s="1"/>
  <c r="L26" i="3"/>
  <c r="L37" i="3"/>
  <c r="E48" i="3"/>
  <c r="E41" i="3" l="1"/>
  <c r="E39" i="3"/>
  <c r="H40" i="3"/>
  <c r="I42" i="3"/>
  <c r="F42" i="3"/>
  <c r="F41" i="3"/>
  <c r="I39" i="3"/>
  <c r="I40" i="3"/>
  <c r="G42" i="3"/>
  <c r="F39" i="3"/>
  <c r="G40" i="3"/>
  <c r="G41" i="3"/>
  <c r="C48" i="2"/>
  <c r="D45" i="2" s="1"/>
  <c r="D47" i="2" s="1"/>
  <c r="D48" i="2" s="1"/>
  <c r="E45" i="2" s="1"/>
  <c r="E47" i="2" s="1"/>
  <c r="E48" i="2" s="1"/>
  <c r="F45" i="2" s="1"/>
  <c r="F47" i="2" s="1"/>
  <c r="F48" i="2" s="1"/>
  <c r="G45" i="2" s="1"/>
  <c r="G47" i="2" s="1"/>
  <c r="G48" i="2" s="1"/>
  <c r="D88" i="4"/>
  <c r="B144" i="4"/>
  <c r="G6" i="4"/>
  <c r="G88" i="4" s="1"/>
  <c r="F88" i="4"/>
  <c r="K42" i="3"/>
  <c r="K39" i="3"/>
  <c r="H41" i="3"/>
  <c r="H42" i="3"/>
  <c r="J41" i="3"/>
  <c r="J39" i="3"/>
  <c r="K40" i="3"/>
  <c r="J42" i="3"/>
  <c r="L41" i="3"/>
  <c r="L40" i="3"/>
  <c r="L39" i="3"/>
  <c r="L42" i="3"/>
</calcChain>
</file>

<file path=xl/sharedStrings.xml><?xml version="1.0" encoding="utf-8"?>
<sst xmlns="http://schemas.openxmlformats.org/spreadsheetml/2006/main" count="308" uniqueCount="259">
  <si>
    <t>JEA</t>
  </si>
  <si>
    <t>Electric System and Bulk Power Supply System</t>
  </si>
  <si>
    <t>Statement of Cash Flows</t>
  </si>
  <si>
    <t>(in thousands)</t>
  </si>
  <si>
    <t>Projection</t>
  </si>
  <si>
    <t>Cash Flow from Operating Activities</t>
  </si>
  <si>
    <t xml:space="preserve"> Change in Net Position</t>
  </si>
  <si>
    <t xml:space="preserve">        Add: COJ Contribution</t>
  </si>
  <si>
    <t xml:space="preserve">        Add: Interest expense on Debt</t>
  </si>
  <si>
    <t xml:space="preserve">        Subtract: Investment Income</t>
  </si>
  <si>
    <t xml:space="preserve">        Subtract: Allowance for funds used during construction</t>
  </si>
  <si>
    <t xml:space="preserve">        Subtract: Earnings from Energy Authority</t>
  </si>
  <si>
    <t xml:space="preserve">        Add: Depreciation &amp; Amortization Expense</t>
  </si>
  <si>
    <t xml:space="preserve">       Changes in noncash assets and noncash liabilities:</t>
  </si>
  <si>
    <t xml:space="preserve">           Decrease (increase) accounts receivable</t>
  </si>
  <si>
    <t xml:space="preserve">           Decrease (increase) accounts receivable, restricted</t>
  </si>
  <si>
    <t xml:space="preserve">           Decrease (increase) in inventories</t>
  </si>
  <si>
    <t xml:space="preserve">           Decrease (increase) in other noncurrent assets and deferred outflows</t>
  </si>
  <si>
    <t xml:space="preserve">           Increase (decrease) in accounts and expenses payable</t>
  </si>
  <si>
    <t xml:space="preserve">           Increase (decrease) in customers deposits</t>
  </si>
  <si>
    <t xml:space="preserve">           Increase (decrease) in other noncurrent liabilities and deferred inflows</t>
  </si>
  <si>
    <t>Net cash (used in) / provided by Operating Activities</t>
  </si>
  <si>
    <t>Cash Flow from Investing Activities</t>
  </si>
  <si>
    <t>Investments in Property, Plant and Equip.</t>
  </si>
  <si>
    <t>Allowance for funds used during construction</t>
  </si>
  <si>
    <t xml:space="preserve"> Changes to construction payable</t>
  </si>
  <si>
    <t>(Purchases)/sales of Investments</t>
  </si>
  <si>
    <t>Investment Income</t>
  </si>
  <si>
    <t>Distributions from Energy Authority</t>
  </si>
  <si>
    <t>Net cash (used in) / provided by Investing Activities</t>
  </si>
  <si>
    <t>Cash Flow from Financing Activities</t>
  </si>
  <si>
    <t xml:space="preserve">  Interest Paid on debt</t>
  </si>
  <si>
    <t xml:space="preserve"> Repayment of debt principal</t>
  </si>
  <si>
    <t xml:space="preserve">  Defeasance of debt</t>
  </si>
  <si>
    <t xml:space="preserve"> Proceeds from debt or line of credit</t>
  </si>
  <si>
    <t xml:space="preserve"> Other capital financing activities</t>
  </si>
  <si>
    <t>City of Jacksonville Contribution</t>
  </si>
  <si>
    <t>Net cash (used in) / provided by Financing Activities</t>
  </si>
  <si>
    <t>Net change in cash and cash equivalents</t>
  </si>
  <si>
    <t>Cash and cash equivalents, beginning of period</t>
  </si>
  <si>
    <t>Cash and cash equivalents, end of period</t>
  </si>
  <si>
    <t>ASSETS AND DEFERRED OUTFLOWS OF RESOURCES</t>
  </si>
  <si>
    <t>Current assets</t>
  </si>
  <si>
    <t>Cash and cash equivalents</t>
  </si>
  <si>
    <t xml:space="preserve">Cash and cash equivalents </t>
  </si>
  <si>
    <t xml:space="preserve">           Operations</t>
  </si>
  <si>
    <t xml:space="preserve">           Debt management strategy stabilization fund</t>
  </si>
  <si>
    <t>Accounts and interest receivable</t>
  </si>
  <si>
    <t xml:space="preserve">           Self insurance reserve funds</t>
  </si>
  <si>
    <t xml:space="preserve">           Fuel Stabilization Fund</t>
  </si>
  <si>
    <t>Fuel</t>
  </si>
  <si>
    <t xml:space="preserve">           Non-Fuel Purchase Power Stabilization Fund</t>
  </si>
  <si>
    <t xml:space="preserve">           Environmental Stabilization Fund</t>
  </si>
  <si>
    <t>Total current assets</t>
  </si>
  <si>
    <t xml:space="preserve">           Environmental Liability Reserve</t>
  </si>
  <si>
    <t xml:space="preserve">           DSM Conservation Fund</t>
  </si>
  <si>
    <t xml:space="preserve">           Customer deposits</t>
  </si>
  <si>
    <t>Total unrestricted cash and investments</t>
  </si>
  <si>
    <t xml:space="preserve">Customer accounts receivable, less allowance for </t>
  </si>
  <si>
    <t xml:space="preserve"> doubtful accounts</t>
  </si>
  <si>
    <t>Miscellaneous accounts receivable</t>
  </si>
  <si>
    <t>Total restricted assets</t>
  </si>
  <si>
    <t>Interest receivable</t>
  </si>
  <si>
    <t>Inventories, less reserve</t>
  </si>
  <si>
    <t>Costs to be recovered from future revenues</t>
  </si>
  <si>
    <t>Fuel inventory - Electric System</t>
  </si>
  <si>
    <t>Fuel inventory - Plant Scherer</t>
  </si>
  <si>
    <t>Materials and supplies - Electric System</t>
  </si>
  <si>
    <t>Total noncurrent assets</t>
  </si>
  <si>
    <t>Materials and supplies - Plant Scherer</t>
  </si>
  <si>
    <t>Noncurrent assets</t>
  </si>
  <si>
    <t>Total assets</t>
  </si>
  <si>
    <t>Restricted assets</t>
  </si>
  <si>
    <t>Debt Service Reserve Fund</t>
  </si>
  <si>
    <t>Unrealized pension contributions and losses</t>
  </si>
  <si>
    <t>Debt Service Fund</t>
  </si>
  <si>
    <t>Unamortized deferred losses on refundings</t>
  </si>
  <si>
    <t>Internal Capital Fund</t>
  </si>
  <si>
    <t>Unrealized OPEB contributions and losses</t>
  </si>
  <si>
    <t>Construction Funds</t>
  </si>
  <si>
    <t>Total deferred outflows of resources</t>
  </si>
  <si>
    <t>Unrealized Gain/(Loss) on Investments</t>
  </si>
  <si>
    <t>Total assets and deferred outflows of resources</t>
  </si>
  <si>
    <t>Other Funds</t>
  </si>
  <si>
    <t>Prepayments and other</t>
  </si>
  <si>
    <t>Accounts and accrued expenses payable</t>
  </si>
  <si>
    <t>Unamortized debt issuance costs</t>
  </si>
  <si>
    <t>COST TO BE RECOVERED - PENSION</t>
  </si>
  <si>
    <t>Total current liabilities</t>
  </si>
  <si>
    <t>BOND ISSUE COSTS</t>
  </si>
  <si>
    <t>COST TO BE RECOVERED FROM FEMA</t>
  </si>
  <si>
    <t>Interest payable</t>
  </si>
  <si>
    <t>UNFUNDED OPEB COSTS</t>
  </si>
  <si>
    <t>Construction contracts and accounts payable</t>
  </si>
  <si>
    <t>SJRPP</t>
  </si>
  <si>
    <t>Other Assets</t>
  </si>
  <si>
    <t>Notes receivable - City of Jacksonville</t>
  </si>
  <si>
    <t>Investment in The Energy Authority</t>
  </si>
  <si>
    <t>Other liabilities</t>
  </si>
  <si>
    <t>Capital assets</t>
  </si>
  <si>
    <t>Land and easements</t>
  </si>
  <si>
    <t>Plant in service</t>
  </si>
  <si>
    <t>Bonds payable, less current portion</t>
  </si>
  <si>
    <t>Less accumulated depreciation</t>
  </si>
  <si>
    <t>Plant in service, net</t>
  </si>
  <si>
    <t>Fair value of debt management strategy instruments</t>
  </si>
  <si>
    <t>Construction work in progress</t>
  </si>
  <si>
    <t>Total long-term debt</t>
  </si>
  <si>
    <t>Capital assets, net</t>
  </si>
  <si>
    <t>Total liabilities</t>
  </si>
  <si>
    <t>Deferred inflows of resources</t>
  </si>
  <si>
    <t>Revenues to be used for future costs</t>
  </si>
  <si>
    <t>Deferred outflows of resources:</t>
  </si>
  <si>
    <t>Unrealized pension gains</t>
  </si>
  <si>
    <t>Unrealized OPEB gains</t>
  </si>
  <si>
    <t>Unamortized Debt Issuance Costs</t>
  </si>
  <si>
    <t>Environmental</t>
  </si>
  <si>
    <t>Total deferred inflows of resources</t>
  </si>
  <si>
    <t>Accumulated decrease in fair value of fuel hedging derivatives</t>
  </si>
  <si>
    <t>Net position</t>
  </si>
  <si>
    <t>Accumulated decrease in fair value of interest swaps derivatives</t>
  </si>
  <si>
    <t>Net investment in capital assets</t>
  </si>
  <si>
    <t>Unrestricted</t>
  </si>
  <si>
    <t>Total net position</t>
  </si>
  <si>
    <t>Statement of Net Position</t>
  </si>
  <si>
    <t>Actual</t>
  </si>
  <si>
    <t>LIABILITIES, DEFERRED INFLOWS OF RESOURCES AND NET POSITION</t>
  </si>
  <si>
    <t>Current liabilities</t>
  </si>
  <si>
    <t>Liabilities payable from restricted assets</t>
  </si>
  <si>
    <t>Revenue bonds due within one year</t>
  </si>
  <si>
    <t>Renewal and replacement reserve</t>
  </si>
  <si>
    <t>Total liabilities payable from restricted assets</t>
  </si>
  <si>
    <t>Other noncurrent liabilities</t>
  </si>
  <si>
    <t xml:space="preserve">OPEB liability </t>
  </si>
  <si>
    <t xml:space="preserve">Liability for compensated absences due after one year </t>
  </si>
  <si>
    <t>Environmental liabilities</t>
  </si>
  <si>
    <t>Deferred credits and other</t>
  </si>
  <si>
    <t>Pension</t>
  </si>
  <si>
    <t>Total other noncurrent liabilities</t>
  </si>
  <si>
    <t>Long-term debt</t>
  </si>
  <si>
    <t>Commercial paper notes payable</t>
  </si>
  <si>
    <t>Unamortized original issue premium (discount)</t>
  </si>
  <si>
    <t>Revolving credit facility</t>
  </si>
  <si>
    <t>Deferred Revenue</t>
  </si>
  <si>
    <t>HEALTH INSURANCE RESERVES</t>
  </si>
  <si>
    <t>SCHERER COST RECOVERY</t>
  </si>
  <si>
    <t>Accumulated increase in fair value of fuel derivatives</t>
  </si>
  <si>
    <t>Accumulated increase in fair value of interest swap derivatives</t>
  </si>
  <si>
    <t>Restricted</t>
  </si>
  <si>
    <t>Total liabilities, deferred inflows of resources and net position</t>
  </si>
  <si>
    <t>Confidential</t>
  </si>
  <si>
    <t>Reports Prepared on</t>
  </si>
  <si>
    <t>Combining Statement of Revenues, Expenses, and Changes in Net Position</t>
  </si>
  <si>
    <t>Operating revenues:</t>
  </si>
  <si>
    <t>Electric - base</t>
  </si>
  <si>
    <t>Electric - fuel and purchased power</t>
  </si>
  <si>
    <t>Other, net of allowances</t>
  </si>
  <si>
    <t>Total operating revenues</t>
  </si>
  <si>
    <t>Operating expenses:</t>
  </si>
  <si>
    <t>Purchased power</t>
  </si>
  <si>
    <t>Maintenance and other operating expenses</t>
  </si>
  <si>
    <t>Depreciation</t>
  </si>
  <si>
    <t>State utility taxes and franchise fees</t>
  </si>
  <si>
    <t>Recognition of deferred costs and revenues, net</t>
  </si>
  <si>
    <t>Total operating expenses</t>
  </si>
  <si>
    <t>Operating income</t>
  </si>
  <si>
    <t>Nonoperating revenues (expenses):</t>
  </si>
  <si>
    <t>Earnings from The Energy Authority</t>
  </si>
  <si>
    <t>Investment income</t>
  </si>
  <si>
    <t>Write Offs</t>
  </si>
  <si>
    <t>Net increase (decrease) in fair value of investments</t>
  </si>
  <si>
    <t>Other nonoperating revenue</t>
  </si>
  <si>
    <t>Other nonoperating expense</t>
  </si>
  <si>
    <t>Interest on debt</t>
  </si>
  <si>
    <t>Interest rate swap (net payment)/receipts</t>
  </si>
  <si>
    <t>Other interest, net</t>
  </si>
  <si>
    <t>Gain (loss) on sale of asset</t>
  </si>
  <si>
    <t>Total nonoperating revenues (expenses), net</t>
  </si>
  <si>
    <t>Income before contributions</t>
  </si>
  <si>
    <t>Contributions (to) from:</t>
  </si>
  <si>
    <t>General fund, City of Jacksonville</t>
  </si>
  <si>
    <t>Developers and other</t>
  </si>
  <si>
    <t>Total contributions</t>
  </si>
  <si>
    <t>Change in net position</t>
  </si>
  <si>
    <t>Net position - beginning of period</t>
  </si>
  <si>
    <t>Net position - beginning of period, restated</t>
  </si>
  <si>
    <t>Net position - end of period</t>
  </si>
  <si>
    <t>Total Operating Expenses</t>
  </si>
  <si>
    <t>Net Revenues</t>
  </si>
  <si>
    <t xml:space="preserve">DEBT SERVICE COVERAGE PROJECTIONS </t>
  </si>
  <si>
    <t>FY2015</t>
  </si>
  <si>
    <t>FY2016</t>
  </si>
  <si>
    <t>FY2017</t>
  </si>
  <si>
    <t>OPERATING REVENUES:</t>
  </si>
  <si>
    <t xml:space="preserve">     Base Rate System Revenues</t>
  </si>
  <si>
    <t xml:space="preserve">     Fuel Rate System Revenues</t>
  </si>
  <si>
    <t xml:space="preserve">     Fuel Rate System Revenues: Recovery Fund</t>
  </si>
  <si>
    <t xml:space="preserve">     Fuel Rate System Revenues: Stabilization Fund</t>
  </si>
  <si>
    <t xml:space="preserve">     Off System Sales Revenues</t>
  </si>
  <si>
    <t xml:space="preserve">        Uncollectibles</t>
  </si>
  <si>
    <t xml:space="preserve">     Franchise and Gross Receipts Taxes</t>
  </si>
  <si>
    <t xml:space="preserve">     Investment Income</t>
  </si>
  <si>
    <t xml:space="preserve">     Other Revenues</t>
  </si>
  <si>
    <t xml:space="preserve">     Net Amt (Paid Into)/Rec'd From Rate Stabilization Fund</t>
  </si>
  <si>
    <t xml:space="preserve">     Net Amt (Paid Into) Rec'd From Fuel Reserve</t>
  </si>
  <si>
    <t xml:space="preserve">     Net Amt (Paid Into) Fuel Recovery Fund</t>
  </si>
  <si>
    <t xml:space="preserve">     Net Amt Rec'd From Fuel Recovery Fund</t>
  </si>
  <si>
    <t>Total Operating Revenues</t>
  </si>
  <si>
    <t>OPERATING EXPENSES:</t>
  </si>
  <si>
    <t xml:space="preserve">     O&amp;M incl PSC Fee</t>
  </si>
  <si>
    <t xml:space="preserve">     Fuel and Purchased Energy</t>
  </si>
  <si>
    <t xml:space="preserve">     Non-Fuel Purchased Power</t>
  </si>
  <si>
    <t>OTHER DEDUCTIONS</t>
  </si>
  <si>
    <t xml:space="preserve">          JEA's Senior Debt Service</t>
  </si>
  <si>
    <t xml:space="preserve">                 less: Interest on Sinking Fund</t>
  </si>
  <si>
    <t xml:space="preserve">          JEA's Net Senior Debt Service</t>
  </si>
  <si>
    <t xml:space="preserve">          JEA's Subordinated Debt Service</t>
  </si>
  <si>
    <t xml:space="preserve">   Total Debt Service</t>
  </si>
  <si>
    <t>Debt Service: Principal</t>
  </si>
  <si>
    <t>Debt Service: Interest</t>
  </si>
  <si>
    <t xml:space="preserve">   Less Interest on Sinking Fund and Build America Bond Subsidy</t>
  </si>
  <si>
    <t xml:space="preserve">     JEA's Total Debt Service</t>
  </si>
  <si>
    <t xml:space="preserve">    Contribution To City</t>
  </si>
  <si>
    <t>SENIOR DEBT SERVICE COVERAGE</t>
  </si>
  <si>
    <t>SENIOR AND SUBORDINATED DEBT SERVICE COVERAGE</t>
  </si>
  <si>
    <t>ADJUSTED DEBT SERVICE COVERAGE</t>
  </si>
  <si>
    <t>FIXED COVERAGE with PPA Contract Payments</t>
  </si>
  <si>
    <t>PPA Contract Payments</t>
  </si>
  <si>
    <t xml:space="preserve"> Vogtle Principal Debt Service Payments</t>
  </si>
  <si>
    <t>TERRITORIAL SYSTEM  MWH SALES</t>
  </si>
  <si>
    <t xml:space="preserve">  Growth Rate: System MWH Sales (%)</t>
  </si>
  <si>
    <t>OFF SYSTEM MWH SALES</t>
  </si>
  <si>
    <t>TOTAL MWH SALES</t>
  </si>
  <si>
    <t>SCHERER BIC 2014A &amp; 2010A SERIES</t>
  </si>
  <si>
    <t>ENVIRONMENTAL</t>
  </si>
  <si>
    <t xml:space="preserve"> Unrealized Asset Retirement Obiligation - Scherer</t>
  </si>
  <si>
    <t>Customer deposits and prepayments</t>
  </si>
  <si>
    <t>Billings on behalf of state and local governments</t>
  </si>
  <si>
    <t xml:space="preserve"> Current portion of asset retirement obligation</t>
  </si>
  <si>
    <t>Compensation and benefits payable</t>
  </si>
  <si>
    <t>City of Jacksonville payable</t>
  </si>
  <si>
    <t>Asset retirement obligation-Scherer</t>
  </si>
  <si>
    <t>JEA-FITCH-O&amp;M INITIATIVES-OCT19</t>
  </si>
  <si>
    <t>Investments, beginning of period</t>
  </si>
  <si>
    <t>Investments, end of period</t>
  </si>
  <si>
    <t>Effect of accounting change / Rounding</t>
  </si>
  <si>
    <t>A minimum debt service coverage target of 2.2x</t>
  </si>
  <si>
    <t>A minimum days of liquidity target of 150</t>
  </si>
  <si>
    <t>Assumptions For Electric System Current Forecast as of  October 2019:</t>
  </si>
  <si>
    <t>* Sales forecast of 12,000,000 MWH per year</t>
  </si>
  <si>
    <t>* Assuming Vogtle Unit 3 coming online 11/2021 &amp; Unit 4 online 11/2022</t>
  </si>
  <si>
    <t>* Capital Plan to be funded by Current Year Revenues and Internal Funds</t>
  </si>
  <si>
    <t>* Average Capital spend of $183mm / yr.</t>
  </si>
  <si>
    <t>* O&amp;M incorporates potential O&amp;M efficiency opportunities identified by McKinsey initiatives</t>
  </si>
  <si>
    <t>* Managing forecast to sustain the following metrics:</t>
  </si>
  <si>
    <t>* Projecting Base rate increases starting in FY 22</t>
  </si>
  <si>
    <t>* ($3.00)/MWh fuel rate decrease projected in 2021</t>
  </si>
  <si>
    <t>* Annualized Base Rate Increase of 2.75% over FY20-FY24; Annualized 1.4% total residential bill increase over 5 years when factor in projected fuel rates</t>
  </si>
  <si>
    <t>A minimum fixed charge coverage target of 1.75x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</si>
</sst>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0.0%"/>
    <numFmt numFmtId="167" formatCode="&quot;Fiscal Year&quot;\ \ 0"/>
    <numFmt numFmtId="168" formatCode="&quot;$&quot;#,##0"/>
    <numFmt numFmtId="169" formatCode="0.00\ &quot;x&quot;"/>
  </numFmts>
  <fonts count="18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8"/>
      <name val="Arial MT"/>
    </font>
    <font>
      <i/>
      <sz val="11"/>
      <name val="Times New Roman"/>
      <family val="1"/>
    </font>
    <font>
      <b/>
      <i/>
      <sz val="12"/>
      <color theme="0"/>
      <name val="Arial"/>
      <family val="2"/>
    </font>
    <font>
      <i/>
      <sz val="12"/>
      <color indexed="8"/>
      <name val="Arial"/>
      <family val="2"/>
    </font>
    <font>
      <b/>
      <u/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9">
    <xf numFmtId="0" fontId="0" fillId="0" borderId="0"/>
    <xf numFmtId="37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7" fontId="5" fillId="0" borderId="0"/>
    <xf numFmtId="3" fontId="11" fillId="0" borderId="0"/>
    <xf numFmtId="0" fontId="7" fillId="0" borderId="0"/>
    <xf numFmtId="0" fontId="7" fillId="0" borderId="0"/>
  </cellStyleXfs>
  <cellXfs count="279">
    <xf numFmtId="0" fontId="0" fillId="0" borderId="0" xfId="0"/>
    <xf numFmtId="41" fontId="2" fillId="0" borderId="0" xfId="4" quotePrefix="1" applyNumberFormat="1" applyFont="1" applyFill="1" applyBorder="1" applyAlignment="1" applyProtection="1">
      <alignment horizontal="left"/>
    </xf>
    <xf numFmtId="0" fontId="1" fillId="0" borderId="0" xfId="4"/>
    <xf numFmtId="41" fontId="2" fillId="0" borderId="0" xfId="4" applyNumberFormat="1" applyFont="1" applyFill="1" applyProtection="1"/>
    <xf numFmtId="41" fontId="2" fillId="0" borderId="0" xfId="4" quotePrefix="1" applyNumberFormat="1" applyFont="1" applyFill="1" applyAlignment="1" applyProtection="1">
      <alignment horizontal="left"/>
    </xf>
    <xf numFmtId="1" fontId="3" fillId="2" borderId="0" xfId="4" applyNumberFormat="1" applyFont="1" applyFill="1" applyBorder="1" applyAlignment="1" applyProtection="1">
      <alignment horizontal="center"/>
    </xf>
    <xf numFmtId="1" fontId="3" fillId="3" borderId="0" xfId="4" applyNumberFormat="1" applyFont="1" applyFill="1" applyBorder="1" applyAlignment="1" applyProtection="1">
      <alignment horizontal="center"/>
    </xf>
    <xf numFmtId="0" fontId="4" fillId="4" borderId="1" xfId="4" applyFont="1" applyFill="1" applyBorder="1"/>
    <xf numFmtId="0" fontId="1" fillId="4" borderId="2" xfId="4" applyFont="1" applyFill="1" applyBorder="1" applyAlignment="1">
      <alignment horizontal="left" indent="1"/>
    </xf>
    <xf numFmtId="0" fontId="4" fillId="4" borderId="3" xfId="4" applyFont="1" applyFill="1" applyBorder="1" applyAlignment="1">
      <alignment horizontal="left"/>
    </xf>
    <xf numFmtId="41" fontId="1" fillId="0" borderId="4" xfId="4" applyNumberFormat="1" applyBorder="1"/>
    <xf numFmtId="0" fontId="1" fillId="0" borderId="0" xfId="4" applyFont="1"/>
    <xf numFmtId="0" fontId="1" fillId="4" borderId="2" xfId="4" applyFont="1" applyFill="1" applyBorder="1" applyAlignment="1">
      <alignment horizontal="left"/>
    </xf>
    <xf numFmtId="0" fontId="1" fillId="4" borderId="2" xfId="4" applyFont="1" applyFill="1" applyBorder="1"/>
    <xf numFmtId="0" fontId="4" fillId="4" borderId="2" xfId="4" applyFont="1" applyFill="1" applyBorder="1"/>
    <xf numFmtId="41" fontId="1" fillId="5" borderId="0" xfId="4" applyNumberFormat="1" applyFont="1" applyFill="1" applyBorder="1"/>
    <xf numFmtId="0" fontId="4" fillId="4" borderId="11" xfId="4" applyFont="1" applyFill="1" applyBorder="1"/>
    <xf numFmtId="0" fontId="4" fillId="0" borderId="0" xfId="4" applyFont="1" applyFill="1" applyAlignment="1">
      <alignment horizontal="center"/>
    </xf>
    <xf numFmtId="14" fontId="4" fillId="0" borderId="0" xfId="1" applyNumberFormat="1" applyFont="1" applyFill="1"/>
    <xf numFmtId="0" fontId="1" fillId="0" borderId="0" xfId="4" applyFont="1" applyFill="1"/>
    <xf numFmtId="0" fontId="4" fillId="0" borderId="0" xfId="4" applyFont="1" applyFill="1" applyAlignment="1">
      <alignment horizontal="right"/>
    </xf>
    <xf numFmtId="37" fontId="1" fillId="0" borderId="0" xfId="4" applyNumberFormat="1" applyFont="1" applyFill="1"/>
    <xf numFmtId="164" fontId="4" fillId="0" borderId="0" xfId="4" applyNumberFormat="1" applyFont="1" applyFill="1" applyAlignment="1">
      <alignment horizontal="right"/>
    </xf>
    <xf numFmtId="3" fontId="1" fillId="0" borderId="0" xfId="4" applyNumberFormat="1" applyFont="1" applyFill="1"/>
    <xf numFmtId="1" fontId="8" fillId="2" borderId="0" xfId="4" applyNumberFormat="1" applyFont="1" applyFill="1" applyBorder="1" applyAlignment="1" applyProtection="1">
      <alignment horizontal="center"/>
    </xf>
    <xf numFmtId="1" fontId="8" fillId="3" borderId="12" xfId="4" applyNumberFormat="1" applyFont="1" applyFill="1" applyBorder="1" applyAlignment="1" applyProtection="1">
      <alignment horizontal="center"/>
    </xf>
    <xf numFmtId="1" fontId="8" fillId="3" borderId="5" xfId="4" applyNumberFormat="1" applyFont="1" applyFill="1" applyBorder="1" applyAlignment="1" applyProtection="1">
      <alignment horizontal="center"/>
    </xf>
    <xf numFmtId="41" fontId="4" fillId="4" borderId="1" xfId="4" applyNumberFormat="1" applyFont="1" applyFill="1" applyBorder="1" applyAlignment="1" applyProtection="1">
      <alignment horizontal="left"/>
    </xf>
    <xf numFmtId="165" fontId="1" fillId="4" borderId="6" xfId="4" applyNumberFormat="1" applyFont="1" applyFill="1" applyBorder="1"/>
    <xf numFmtId="41" fontId="0" fillId="4" borderId="2" xfId="4" quotePrefix="1" applyNumberFormat="1" applyFont="1" applyFill="1" applyBorder="1" applyAlignment="1" applyProtection="1">
      <alignment horizontal="left"/>
    </xf>
    <xf numFmtId="165" fontId="1" fillId="4" borderId="0" xfId="4" applyNumberFormat="1" applyFont="1" applyFill="1" applyBorder="1"/>
    <xf numFmtId="165" fontId="1" fillId="4" borderId="0" xfId="4" applyNumberFormat="1" applyFont="1" applyFill="1" applyBorder="1" applyProtection="1"/>
    <xf numFmtId="165" fontId="1" fillId="4" borderId="0" xfId="1" applyNumberFormat="1" applyFont="1" applyFill="1" applyBorder="1"/>
    <xf numFmtId="41" fontId="4" fillId="4" borderId="3" xfId="4" quotePrefix="1" applyNumberFormat="1" applyFont="1" applyFill="1" applyBorder="1" applyAlignment="1" applyProtection="1">
      <alignment horizontal="left"/>
    </xf>
    <xf numFmtId="165" fontId="4" fillId="4" borderId="4" xfId="4" applyNumberFormat="1" applyFont="1" applyFill="1" applyBorder="1" applyProtection="1"/>
    <xf numFmtId="41" fontId="9" fillId="0" borderId="0" xfId="4" quotePrefix="1" applyNumberFormat="1" applyFont="1" applyFill="1" applyBorder="1" applyAlignment="1" applyProtection="1">
      <alignment horizontal="left"/>
    </xf>
    <xf numFmtId="165" fontId="1" fillId="0" borderId="0" xfId="3" applyNumberFormat="1" applyFont="1" applyFill="1" applyProtection="1"/>
    <xf numFmtId="165" fontId="1" fillId="0" borderId="0" xfId="4" applyNumberFormat="1" applyFont="1" applyFill="1" applyBorder="1"/>
    <xf numFmtId="41" fontId="4" fillId="4" borderId="1" xfId="4" quotePrefix="1" applyNumberFormat="1" applyFont="1" applyFill="1" applyBorder="1" applyAlignment="1" applyProtection="1">
      <alignment horizontal="left"/>
    </xf>
    <xf numFmtId="41" fontId="0" fillId="4" borderId="2" xfId="4" applyNumberFormat="1" applyFont="1" applyFill="1" applyBorder="1" applyAlignment="1" applyProtection="1">
      <alignment horizontal="left"/>
    </xf>
    <xf numFmtId="165" fontId="4" fillId="4" borderId="6" xfId="4" applyNumberFormat="1" applyFont="1" applyFill="1" applyBorder="1" applyProtection="1"/>
    <xf numFmtId="41" fontId="4" fillId="0" borderId="1" xfId="4" quotePrefix="1" applyNumberFormat="1" applyFont="1" applyFill="1" applyBorder="1" applyAlignment="1" applyProtection="1">
      <alignment horizontal="left"/>
    </xf>
    <xf numFmtId="165" fontId="4" fillId="0" borderId="6" xfId="4" applyNumberFormat="1" applyFont="1" applyFill="1" applyBorder="1" applyProtection="1"/>
    <xf numFmtId="9" fontId="1" fillId="0" borderId="0" xfId="3" applyFont="1" applyFill="1" applyBorder="1" applyProtection="1"/>
    <xf numFmtId="44" fontId="0" fillId="0" borderId="0" xfId="4" quotePrefix="1" applyNumberFormat="1" applyFont="1" applyFill="1" applyBorder="1"/>
    <xf numFmtId="41" fontId="4" fillId="0" borderId="3" xfId="4" quotePrefix="1" applyNumberFormat="1" applyFont="1" applyFill="1" applyBorder="1" applyAlignment="1" applyProtection="1">
      <alignment horizontal="left"/>
    </xf>
    <xf numFmtId="165" fontId="4" fillId="0" borderId="4" xfId="4" applyNumberFormat="1" applyFont="1" applyFill="1" applyBorder="1" applyProtection="1"/>
    <xf numFmtId="41" fontId="4" fillId="4" borderId="3" xfId="4" applyNumberFormat="1" applyFont="1" applyFill="1" applyBorder="1" applyAlignment="1" applyProtection="1">
      <alignment horizontal="left"/>
    </xf>
    <xf numFmtId="165" fontId="1" fillId="5" borderId="0" xfId="3" applyNumberFormat="1" applyFont="1" applyFill="1" applyBorder="1"/>
    <xf numFmtId="165" fontId="1" fillId="5" borderId="0" xfId="4" applyNumberFormat="1" applyFont="1" applyFill="1" applyBorder="1"/>
    <xf numFmtId="41" fontId="4" fillId="4" borderId="1" xfId="4" applyNumberFormat="1" applyFont="1" applyFill="1" applyBorder="1" applyAlignment="1">
      <alignment horizontal="left"/>
    </xf>
    <xf numFmtId="41" fontId="0" fillId="4" borderId="2" xfId="4" quotePrefix="1" applyNumberFormat="1" applyFont="1" applyFill="1" applyBorder="1" applyAlignment="1">
      <alignment horizontal="left"/>
    </xf>
    <xf numFmtId="41" fontId="0" fillId="4" borderId="11" xfId="4" quotePrefix="1" applyNumberFormat="1" applyFont="1" applyFill="1" applyBorder="1" applyAlignment="1">
      <alignment horizontal="left"/>
    </xf>
    <xf numFmtId="165" fontId="1" fillId="4" borderId="5" xfId="4" applyNumberFormat="1" applyFont="1" applyFill="1" applyBorder="1" applyProtection="1"/>
    <xf numFmtId="41" fontId="4" fillId="4" borderId="11" xfId="4" quotePrefix="1" applyNumberFormat="1" applyFont="1" applyFill="1" applyBorder="1" applyAlignment="1" applyProtection="1">
      <alignment horizontal="left"/>
    </xf>
    <xf numFmtId="165" fontId="4" fillId="4" borderId="5" xfId="4" applyNumberFormat="1" applyFont="1" applyFill="1" applyBorder="1"/>
    <xf numFmtId="41" fontId="0" fillId="0" borderId="0" xfId="4" applyNumberFormat="1" applyFont="1" applyFill="1" applyBorder="1"/>
    <xf numFmtId="165" fontId="1" fillId="0" borderId="0" xfId="4" applyNumberFormat="1" applyFont="1" applyFill="1" applyBorder="1" applyProtection="1"/>
    <xf numFmtId="41" fontId="4" fillId="4" borderId="1" xfId="4" quotePrefix="1" applyNumberFormat="1" applyFont="1" applyFill="1" applyBorder="1" applyAlignment="1">
      <alignment horizontal="left"/>
    </xf>
    <xf numFmtId="165" fontId="4" fillId="4" borderId="6" xfId="4" applyNumberFormat="1" applyFont="1" applyFill="1" applyBorder="1"/>
    <xf numFmtId="41" fontId="4" fillId="4" borderId="2" xfId="4" applyNumberFormat="1" applyFont="1" applyFill="1" applyBorder="1" applyAlignment="1" applyProtection="1">
      <alignment horizontal="left"/>
    </xf>
    <xf numFmtId="41" fontId="4" fillId="4" borderId="11" xfId="4" applyNumberFormat="1" applyFont="1" applyFill="1" applyBorder="1" applyAlignment="1" applyProtection="1">
      <alignment horizontal="left"/>
    </xf>
    <xf numFmtId="41" fontId="1" fillId="0" borderId="0" xfId="4" applyNumberFormat="1" applyFont="1" applyFill="1"/>
    <xf numFmtId="0" fontId="1" fillId="0" borderId="0" xfId="4" applyFont="1" applyFill="1" applyBorder="1"/>
    <xf numFmtId="41" fontId="1" fillId="0" borderId="0" xfId="4" applyNumberFormat="1" applyFont="1" applyFill="1" applyBorder="1"/>
    <xf numFmtId="41" fontId="1" fillId="4" borderId="2" xfId="4" applyNumberFormat="1" applyFont="1" applyFill="1" applyBorder="1" applyAlignment="1">
      <alignment horizontal="left" indent="2"/>
    </xf>
    <xf numFmtId="42" fontId="1" fillId="0" borderId="0" xfId="4" applyNumberFormat="1" applyFont="1" applyFill="1"/>
    <xf numFmtId="165" fontId="1" fillId="0" borderId="0" xfId="4" applyNumberFormat="1" applyFont="1" applyFill="1"/>
    <xf numFmtId="41" fontId="1" fillId="4" borderId="2" xfId="4" quotePrefix="1" applyNumberFormat="1" applyFont="1" applyFill="1" applyBorder="1" applyAlignment="1" applyProtection="1">
      <alignment horizontal="left" indent="1"/>
    </xf>
    <xf numFmtId="37" fontId="8" fillId="3" borderId="8" xfId="5" applyFont="1" applyFill="1" applyBorder="1" applyAlignment="1">
      <alignment horizontal="left"/>
    </xf>
    <xf numFmtId="0" fontId="6" fillId="7" borderId="0" xfId="6" applyNumberFormat="1" applyFont="1" applyFill="1" applyAlignment="1" applyProtection="1">
      <protection locked="0"/>
    </xf>
    <xf numFmtId="164" fontId="6" fillId="0" borderId="16" xfId="6" applyNumberFormat="1" applyFont="1" applyFill="1" applyBorder="1" applyAlignment="1">
      <alignment horizontal="left"/>
    </xf>
    <xf numFmtId="0" fontId="6" fillId="5" borderId="0" xfId="6" applyNumberFormat="1" applyFont="1" applyFill="1" applyAlignment="1" applyProtection="1">
      <protection locked="0"/>
    </xf>
    <xf numFmtId="0" fontId="10" fillId="0" borderId="3" xfId="7" applyFont="1" applyFill="1" applyBorder="1" applyAlignment="1">
      <alignment horizontal="centerContinuous"/>
    </xf>
    <xf numFmtId="0" fontId="10" fillId="0" borderId="4" xfId="7" applyFont="1" applyFill="1" applyBorder="1" applyAlignment="1">
      <alignment horizontal="centerContinuous"/>
    </xf>
    <xf numFmtId="0" fontId="6" fillId="7" borderId="13" xfId="6" applyNumberFormat="1" applyFont="1" applyFill="1" applyBorder="1" applyAlignment="1" applyProtection="1">
      <protection locked="0"/>
    </xf>
    <xf numFmtId="0" fontId="12" fillId="5" borderId="0" xfId="7" applyFont="1" applyFill="1" applyBorder="1" applyAlignment="1">
      <alignment horizontal="centerContinuous"/>
    </xf>
    <xf numFmtId="0" fontId="8" fillId="8" borderId="17" xfId="8" applyFont="1" applyFill="1" applyBorder="1" applyAlignment="1" applyProtection="1">
      <alignment horizontal="left"/>
      <protection locked="0"/>
    </xf>
    <xf numFmtId="167" fontId="10" fillId="0" borderId="5" xfId="7" quotePrefix="1" applyNumberFormat="1" applyFont="1" applyFill="1" applyBorder="1" applyAlignment="1">
      <alignment horizontal="center"/>
    </xf>
    <xf numFmtId="167" fontId="10" fillId="0" borderId="18" xfId="7" quotePrefix="1" applyNumberFormat="1" applyFont="1" applyFill="1" applyBorder="1" applyAlignment="1">
      <alignment horizontal="center"/>
    </xf>
    <xf numFmtId="0" fontId="13" fillId="3" borderId="19" xfId="7" applyFont="1" applyFill="1" applyBorder="1" applyAlignment="1">
      <alignment horizontal="centerContinuous"/>
    </xf>
    <xf numFmtId="0" fontId="13" fillId="3" borderId="19" xfId="7" applyFont="1" applyFill="1" applyBorder="1" applyAlignment="1">
      <alignment horizontal="center"/>
    </xf>
    <xf numFmtId="0" fontId="13" fillId="3" borderId="20" xfId="7" applyFont="1" applyFill="1" applyBorder="1" applyAlignment="1">
      <alignment horizontal="center"/>
    </xf>
    <xf numFmtId="43" fontId="6" fillId="7" borderId="0" xfId="6" applyNumberFormat="1" applyFont="1" applyFill="1" applyAlignment="1" applyProtection="1">
      <protection locked="0"/>
    </xf>
    <xf numFmtId="0" fontId="8" fillId="3" borderId="21" xfId="7" applyFont="1" applyFill="1" applyBorder="1" applyAlignment="1" applyProtection="1">
      <alignment horizontal="left"/>
      <protection locked="0"/>
    </xf>
    <xf numFmtId="168" fontId="4" fillId="0" borderId="6" xfId="7" applyNumberFormat="1" applyFont="1" applyFill="1" applyBorder="1" applyAlignment="1"/>
    <xf numFmtId="10" fontId="4" fillId="0" borderId="22" xfId="3" applyNumberFormat="1" applyFont="1" applyFill="1" applyBorder="1" applyAlignment="1"/>
    <xf numFmtId="167" fontId="13" fillId="3" borderId="21" xfId="7" quotePrefix="1" applyNumberFormat="1" applyFont="1" applyFill="1" applyBorder="1" applyAlignment="1">
      <alignment horizontal="center"/>
    </xf>
    <xf numFmtId="167" fontId="13" fillId="3" borderId="10" xfId="7" quotePrefix="1" applyNumberFormat="1" applyFont="1" applyFill="1" applyBorder="1" applyAlignment="1">
      <alignment horizontal="center"/>
    </xf>
    <xf numFmtId="41" fontId="6" fillId="7" borderId="0" xfId="6" applyNumberFormat="1" applyFont="1" applyFill="1" applyAlignment="1" applyProtection="1">
      <protection locked="0"/>
    </xf>
    <xf numFmtId="0" fontId="1" fillId="0" borderId="23" xfId="7" quotePrefix="1" applyFont="1" applyFill="1" applyBorder="1" applyAlignment="1" applyProtection="1">
      <alignment horizontal="left"/>
      <protection locked="0"/>
    </xf>
    <xf numFmtId="5" fontId="1" fillId="0" borderId="0" xfId="7" applyNumberFormat="1" applyFont="1" applyFill="1" applyBorder="1" applyAlignment="1"/>
    <xf numFmtId="5" fontId="1" fillId="0" borderId="22" xfId="7" applyNumberFormat="1" applyFont="1" applyFill="1" applyBorder="1" applyAlignment="1"/>
    <xf numFmtId="5" fontId="1" fillId="0" borderId="2" xfId="7" applyNumberFormat="1" applyFont="1" applyFill="1" applyBorder="1" applyAlignment="1"/>
    <xf numFmtId="41" fontId="1" fillId="0" borderId="24" xfId="7" applyNumberFormat="1" applyFont="1" applyFill="1" applyBorder="1" applyAlignment="1" applyProtection="1">
      <protection locked="0"/>
    </xf>
    <xf numFmtId="43" fontId="1" fillId="0" borderId="26" xfId="7" applyNumberFormat="1" applyFont="1" applyFill="1" applyBorder="1" applyAlignment="1" applyProtection="1">
      <protection locked="0"/>
    </xf>
    <xf numFmtId="0" fontId="0" fillId="0" borderId="23" xfId="7" applyFont="1" applyFill="1" applyBorder="1" applyAlignment="1" applyProtection="1">
      <alignment horizontal="left"/>
      <protection locked="0"/>
    </xf>
    <xf numFmtId="37" fontId="1" fillId="0" borderId="0" xfId="7" applyNumberFormat="1" applyFont="1" applyFill="1" applyBorder="1" applyAlignment="1" applyProtection="1">
      <protection locked="0"/>
    </xf>
    <xf numFmtId="37" fontId="1" fillId="0" borderId="22" xfId="7" applyNumberFormat="1" applyFont="1" applyFill="1" applyBorder="1" applyAlignment="1" applyProtection="1">
      <protection locked="0"/>
    </xf>
    <xf numFmtId="37" fontId="1" fillId="0" borderId="2" xfId="7" applyNumberFormat="1" applyFont="1" applyFill="1" applyBorder="1" applyAlignment="1" applyProtection="1">
      <protection locked="0"/>
    </xf>
    <xf numFmtId="41" fontId="1" fillId="0" borderId="27" xfId="7" applyNumberFormat="1" applyFont="1" applyFill="1" applyBorder="1" applyAlignment="1" applyProtection="1">
      <protection locked="0"/>
    </xf>
    <xf numFmtId="41" fontId="1" fillId="0" borderId="0" xfId="7" applyNumberFormat="1" applyFont="1" applyFill="1" applyBorder="1" applyAlignment="1" applyProtection="1">
      <protection locked="0"/>
    </xf>
    <xf numFmtId="41" fontId="1" fillId="0" borderId="26" xfId="7" applyNumberFormat="1" applyFont="1" applyFill="1" applyBorder="1" applyAlignment="1" applyProtection="1">
      <protection locked="0"/>
    </xf>
    <xf numFmtId="0" fontId="1" fillId="0" borderId="23" xfId="7" applyFont="1" applyFill="1" applyBorder="1" applyAlignment="1" applyProtection="1">
      <alignment horizontal="left"/>
      <protection locked="0"/>
    </xf>
    <xf numFmtId="37" fontId="6" fillId="7" borderId="0" xfId="6" applyNumberFormat="1" applyFont="1" applyFill="1" applyAlignment="1" applyProtection="1">
      <protection locked="0"/>
    </xf>
    <xf numFmtId="37" fontId="1" fillId="0" borderId="0" xfId="7" applyNumberFormat="1" applyFont="1" applyFill="1" applyBorder="1" applyAlignment="1"/>
    <xf numFmtId="37" fontId="1" fillId="0" borderId="22" xfId="7" applyNumberFormat="1" applyFont="1" applyFill="1" applyBorder="1" applyAlignment="1"/>
    <xf numFmtId="37" fontId="1" fillId="0" borderId="2" xfId="7" applyNumberFormat="1" applyFont="1" applyFill="1" applyBorder="1" applyAlignment="1"/>
    <xf numFmtId="41" fontId="1" fillId="0" borderId="27" xfId="7" applyNumberFormat="1" applyFont="1" applyFill="1" applyBorder="1" applyAlignment="1"/>
    <xf numFmtId="41" fontId="1" fillId="0" borderId="0" xfId="7" applyNumberFormat="1" applyFont="1" applyFill="1" applyBorder="1" applyAlignment="1"/>
    <xf numFmtId="41" fontId="1" fillId="0" borderId="26" xfId="7" applyNumberFormat="1" applyFont="1" applyFill="1" applyBorder="1" applyAlignment="1"/>
    <xf numFmtId="0" fontId="4" fillId="0" borderId="19" xfId="7" applyFont="1" applyFill="1" applyBorder="1" applyAlignment="1" applyProtection="1">
      <alignment horizontal="left"/>
      <protection locked="0"/>
    </xf>
    <xf numFmtId="5" fontId="1" fillId="0" borderId="6" xfId="7" applyNumberFormat="1" applyFont="1" applyFill="1" applyBorder="1" applyAlignment="1" applyProtection="1">
      <protection locked="0"/>
    </xf>
    <xf numFmtId="42" fontId="1" fillId="0" borderId="28" xfId="7" applyNumberFormat="1" applyFont="1" applyFill="1" applyBorder="1" applyAlignment="1" applyProtection="1">
      <protection locked="0"/>
    </xf>
    <xf numFmtId="42" fontId="1" fillId="0" borderId="1" xfId="7" applyNumberFormat="1" applyFont="1" applyFill="1" applyBorder="1" applyAlignment="1" applyProtection="1">
      <protection locked="0"/>
    </xf>
    <xf numFmtId="42" fontId="1" fillId="0" borderId="29" xfId="7" applyNumberFormat="1" applyFont="1" applyFill="1" applyBorder="1" applyAlignment="1" applyProtection="1">
      <protection locked="0"/>
    </xf>
    <xf numFmtId="42" fontId="1" fillId="0" borderId="6" xfId="7" applyNumberFormat="1" applyFont="1" applyFill="1" applyBorder="1" applyAlignment="1" applyProtection="1">
      <protection locked="0"/>
    </xf>
    <xf numFmtId="42" fontId="1" fillId="0" borderId="30" xfId="7" applyNumberFormat="1" applyFont="1" applyFill="1" applyBorder="1" applyAlignment="1" applyProtection="1">
      <protection locked="0"/>
    </xf>
    <xf numFmtId="3" fontId="1" fillId="0" borderId="9" xfId="7" applyNumberFormat="1" applyFont="1" applyFill="1" applyBorder="1" applyAlignment="1"/>
    <xf numFmtId="3" fontId="1" fillId="0" borderId="31" xfId="7" applyNumberFormat="1" applyFont="1" applyFill="1" applyBorder="1" applyAlignment="1"/>
    <xf numFmtId="3" fontId="1" fillId="0" borderId="32" xfId="7" applyNumberFormat="1" applyFont="1" applyFill="1" applyBorder="1" applyAlignment="1"/>
    <xf numFmtId="3" fontId="1" fillId="6" borderId="10" xfId="7" applyNumberFormat="1" applyFont="1" applyFill="1" applyBorder="1" applyAlignment="1"/>
    <xf numFmtId="5" fontId="1" fillId="0" borderId="4" xfId="7" applyNumberFormat="1" applyFont="1" applyFill="1" applyBorder="1" applyAlignment="1"/>
    <xf numFmtId="42" fontId="1" fillId="0" borderId="15" xfId="7" applyNumberFormat="1" applyFont="1" applyFill="1" applyBorder="1" applyAlignment="1"/>
    <xf numFmtId="42" fontId="1" fillId="0" borderId="3" xfId="7" applyNumberFormat="1" applyFont="1" applyFill="1" applyBorder="1" applyAlignment="1"/>
    <xf numFmtId="42" fontId="1" fillId="0" borderId="33" xfId="7" applyNumberFormat="1" applyFont="1" applyFill="1" applyBorder="1" applyAlignment="1"/>
    <xf numFmtId="42" fontId="1" fillId="0" borderId="4" xfId="7" applyNumberFormat="1" applyFont="1" applyFill="1" applyBorder="1" applyAlignment="1"/>
    <xf numFmtId="42" fontId="1" fillId="0" borderId="34" xfId="7" applyNumberFormat="1" applyFont="1" applyFill="1" applyBorder="1" applyAlignment="1"/>
    <xf numFmtId="0" fontId="9" fillId="0" borderId="35" xfId="7" applyFont="1" applyFill="1" applyBorder="1" applyAlignment="1" applyProtection="1">
      <alignment horizontal="right"/>
      <protection locked="0"/>
    </xf>
    <xf numFmtId="0" fontId="9" fillId="0" borderId="23" xfId="7" applyFont="1" applyFill="1" applyBorder="1" applyAlignment="1" applyProtection="1">
      <alignment horizontal="left"/>
      <protection locked="0"/>
    </xf>
    <xf numFmtId="168" fontId="4" fillId="0" borderId="0" xfId="7" applyNumberFormat="1" applyFont="1" applyFill="1" applyBorder="1" applyAlignment="1"/>
    <xf numFmtId="168" fontId="4" fillId="0" borderId="22" xfId="7" applyNumberFormat="1" applyFont="1" applyFill="1" applyBorder="1" applyAlignment="1"/>
    <xf numFmtId="168" fontId="4" fillId="0" borderId="2" xfId="7" applyNumberFormat="1" applyFont="1" applyFill="1" applyBorder="1" applyAlignment="1"/>
    <xf numFmtId="168" fontId="4" fillId="0" borderId="27" xfId="7" applyNumberFormat="1" applyFont="1" applyFill="1" applyBorder="1" applyAlignment="1"/>
    <xf numFmtId="168" fontId="4" fillId="0" borderId="26" xfId="7" applyNumberFormat="1" applyFont="1" applyFill="1" applyBorder="1" applyAlignment="1"/>
    <xf numFmtId="168" fontId="4" fillId="0" borderId="9" xfId="7" applyNumberFormat="1" applyFont="1" applyFill="1" applyBorder="1" applyAlignment="1"/>
    <xf numFmtId="168" fontId="4" fillId="0" borderId="31" xfId="7" applyNumberFormat="1" applyFont="1" applyFill="1" applyBorder="1" applyAlignment="1"/>
    <xf numFmtId="168" fontId="4" fillId="0" borderId="32" xfId="7" applyNumberFormat="1" applyFont="1" applyFill="1" applyBorder="1" applyAlignment="1"/>
    <xf numFmtId="168" fontId="4" fillId="6" borderId="10" xfId="7" applyNumberFormat="1" applyFont="1" applyFill="1" applyBorder="1" applyAlignment="1"/>
    <xf numFmtId="0" fontId="5" fillId="0" borderId="23" xfId="7" applyFont="1" applyFill="1" applyBorder="1" applyAlignment="1" applyProtection="1">
      <alignment horizontal="left"/>
      <protection locked="0"/>
    </xf>
    <xf numFmtId="37" fontId="1" fillId="0" borderId="27" xfId="7" applyNumberFormat="1" applyFont="1" applyFill="1" applyBorder="1" applyAlignment="1"/>
    <xf numFmtId="37" fontId="1" fillId="0" borderId="26" xfId="7" applyNumberFormat="1" applyFont="1" applyFill="1" applyBorder="1" applyAlignment="1"/>
    <xf numFmtId="0" fontId="5" fillId="0" borderId="35" xfId="7" applyFont="1" applyFill="1" applyBorder="1" applyAlignment="1" applyProtection="1">
      <alignment horizontal="left"/>
      <protection locked="0"/>
    </xf>
    <xf numFmtId="5" fontId="1" fillId="0" borderId="15" xfId="7" applyNumberFormat="1" applyFont="1" applyFill="1" applyBorder="1" applyAlignment="1"/>
    <xf numFmtId="5" fontId="1" fillId="0" borderId="3" xfId="7" applyNumberFormat="1" applyFont="1" applyFill="1" applyBorder="1" applyAlignment="1"/>
    <xf numFmtId="5" fontId="1" fillId="0" borderId="34" xfId="7" applyNumberFormat="1" applyFont="1" applyFill="1" applyBorder="1" applyAlignment="1"/>
    <xf numFmtId="0" fontId="1" fillId="0" borderId="35" xfId="7" applyFont="1" applyFill="1" applyBorder="1" applyAlignment="1" applyProtection="1">
      <alignment horizontal="left"/>
      <protection locked="0"/>
    </xf>
    <xf numFmtId="5" fontId="1" fillId="0" borderId="4" xfId="7" applyNumberFormat="1" applyFont="1" applyFill="1" applyBorder="1" applyAlignment="1" applyProtection="1">
      <alignment horizontal="right"/>
      <protection locked="0"/>
    </xf>
    <xf numFmtId="5" fontId="1" fillId="0" borderId="15" xfId="7" applyNumberFormat="1" applyFont="1" applyFill="1" applyBorder="1" applyAlignment="1" applyProtection="1">
      <alignment horizontal="right"/>
      <protection locked="0"/>
    </xf>
    <xf numFmtId="5" fontId="1" fillId="0" borderId="3" xfId="7" applyNumberFormat="1" applyFont="1" applyFill="1" applyBorder="1" applyAlignment="1" applyProtection="1">
      <alignment horizontal="right"/>
      <protection locked="0"/>
    </xf>
    <xf numFmtId="41" fontId="1" fillId="0" borderId="33" xfId="7" applyNumberFormat="1" applyFont="1" applyFill="1" applyBorder="1" applyAlignment="1" applyProtection="1">
      <alignment horizontal="right"/>
      <protection locked="0"/>
    </xf>
    <xf numFmtId="41" fontId="1" fillId="0" borderId="4" xfId="7" applyNumberFormat="1" applyFont="1" applyFill="1" applyBorder="1" applyAlignment="1" applyProtection="1">
      <alignment horizontal="right"/>
      <protection locked="0"/>
    </xf>
    <xf numFmtId="41" fontId="1" fillId="0" borderId="34" xfId="7" applyNumberFormat="1" applyFont="1" applyFill="1" applyBorder="1" applyAlignment="1" applyProtection="1">
      <alignment horizontal="right"/>
      <protection locked="0"/>
    </xf>
    <xf numFmtId="0" fontId="9" fillId="0" borderId="19" xfId="7" applyFont="1" applyFill="1" applyBorder="1" applyAlignment="1">
      <alignment horizontal="left"/>
    </xf>
    <xf numFmtId="169" fontId="1" fillId="0" borderId="6" xfId="7" applyNumberFormat="1" applyFont="1" applyFill="1" applyBorder="1" applyAlignment="1"/>
    <xf numFmtId="169" fontId="1" fillId="0" borderId="22" xfId="7" applyNumberFormat="1" applyFont="1" applyFill="1" applyBorder="1" applyAlignment="1"/>
    <xf numFmtId="169" fontId="1" fillId="0" borderId="2" xfId="7" applyNumberFormat="1" applyFont="1" applyFill="1" applyBorder="1" applyAlignment="1"/>
    <xf numFmtId="169" fontId="1" fillId="0" borderId="27" xfId="7" applyNumberFormat="1" applyFont="1" applyFill="1" applyBorder="1" applyAlignment="1"/>
    <xf numFmtId="169" fontId="1" fillId="0" borderId="0" xfId="7" applyNumberFormat="1" applyFont="1" applyFill="1" applyBorder="1" applyAlignment="1"/>
    <xf numFmtId="169" fontId="1" fillId="0" borderId="26" xfId="7" applyNumberFormat="1" applyFont="1" applyFill="1" applyBorder="1" applyAlignment="1"/>
    <xf numFmtId="0" fontId="9" fillId="0" borderId="23" xfId="7" applyFont="1" applyFill="1" applyBorder="1" applyAlignment="1">
      <alignment horizontal="left"/>
    </xf>
    <xf numFmtId="0" fontId="9" fillId="0" borderId="23" xfId="7" quotePrefix="1" applyFont="1" applyFill="1" applyBorder="1" applyAlignment="1">
      <alignment horizontal="left"/>
    </xf>
    <xf numFmtId="169" fontId="1" fillId="0" borderId="5" xfId="7" applyNumberFormat="1" applyFont="1" applyFill="1" applyBorder="1" applyAlignment="1"/>
    <xf numFmtId="169" fontId="1" fillId="0" borderId="18" xfId="7" applyNumberFormat="1" applyFont="1" applyFill="1" applyBorder="1" applyAlignment="1"/>
    <xf numFmtId="169" fontId="1" fillId="0" borderId="11" xfId="7" applyNumberFormat="1" applyFont="1" applyFill="1" applyBorder="1" applyAlignment="1"/>
    <xf numFmtId="169" fontId="1" fillId="0" borderId="36" xfId="7" applyNumberFormat="1" applyFont="1" applyFill="1" applyBorder="1" applyAlignment="1"/>
    <xf numFmtId="169" fontId="1" fillId="0" borderId="37" xfId="7" applyNumberFormat="1" applyFont="1" applyFill="1" applyBorder="1" applyAlignment="1"/>
    <xf numFmtId="0" fontId="10" fillId="0" borderId="35" xfId="7" applyFont="1" applyFill="1" applyBorder="1" applyAlignment="1">
      <alignment horizontal="right"/>
    </xf>
    <xf numFmtId="5" fontId="10" fillId="0" borderId="5" xfId="7" applyNumberFormat="1" applyFont="1" applyFill="1" applyBorder="1" applyAlignment="1"/>
    <xf numFmtId="5" fontId="10" fillId="0" borderId="18" xfId="7" applyNumberFormat="1" applyFont="1" applyFill="1" applyBorder="1" applyAlignment="1"/>
    <xf numFmtId="5" fontId="10" fillId="0" borderId="11" xfId="7" applyNumberFormat="1" applyFont="1" applyFill="1" applyBorder="1" applyAlignment="1"/>
    <xf numFmtId="41" fontId="10" fillId="0" borderId="36" xfId="7" applyNumberFormat="1" applyFont="1" applyFill="1" applyBorder="1" applyAlignment="1"/>
    <xf numFmtId="41" fontId="10" fillId="0" borderId="5" xfId="7" applyNumberFormat="1" applyFont="1" applyFill="1" applyBorder="1" applyAlignment="1"/>
    <xf numFmtId="3" fontId="10" fillId="0" borderId="34" xfId="7" applyNumberFormat="1" applyFont="1" applyFill="1" applyBorder="1" applyAlignment="1" applyProtection="1">
      <protection locked="0"/>
    </xf>
    <xf numFmtId="0" fontId="10" fillId="0" borderId="19" xfId="7" applyFont="1" applyFill="1" applyBorder="1" applyAlignment="1">
      <alignment horizontal="right"/>
    </xf>
    <xf numFmtId="168" fontId="10" fillId="0" borderId="6" xfId="7" applyNumberFormat="1" applyFont="1" applyFill="1" applyBorder="1" applyAlignment="1"/>
    <xf numFmtId="168" fontId="10" fillId="0" borderId="22" xfId="7" applyNumberFormat="1" applyFont="1" applyFill="1" applyBorder="1" applyAlignment="1"/>
    <xf numFmtId="168" fontId="10" fillId="0" borderId="2" xfId="7" applyNumberFormat="1" applyFont="1" applyFill="1" applyBorder="1" applyAlignment="1"/>
    <xf numFmtId="3" fontId="1" fillId="0" borderId="6" xfId="7" applyNumberFormat="1" applyFont="1" applyFill="1" applyBorder="1" applyAlignment="1" applyProtection="1">
      <protection locked="0"/>
    </xf>
    <xf numFmtId="3" fontId="1" fillId="0" borderId="28" xfId="7" applyNumberFormat="1" applyFont="1" applyFill="1" applyBorder="1" applyAlignment="1" applyProtection="1">
      <protection locked="0"/>
    </xf>
    <xf numFmtId="3" fontId="1" fillId="0" borderId="1" xfId="7" applyNumberFormat="1" applyFont="1" applyFill="1" applyBorder="1" applyAlignment="1" applyProtection="1">
      <protection locked="0"/>
    </xf>
    <xf numFmtId="3" fontId="1" fillId="0" borderId="29" xfId="7" applyNumberFormat="1" applyFont="1" applyFill="1" applyBorder="1" applyAlignment="1" applyProtection="1">
      <protection locked="0"/>
    </xf>
    <xf numFmtId="3" fontId="1" fillId="0" borderId="30" xfId="7" applyNumberFormat="1" applyFont="1" applyFill="1" applyBorder="1" applyAlignment="1" applyProtection="1">
      <protection locked="0"/>
    </xf>
    <xf numFmtId="0" fontId="9" fillId="0" borderId="19" xfId="7" applyFont="1" applyFill="1" applyBorder="1" applyAlignment="1" applyProtection="1">
      <alignment horizontal="left"/>
      <protection locked="0"/>
    </xf>
    <xf numFmtId="166" fontId="1" fillId="0" borderId="0" xfId="7" applyNumberFormat="1" applyFont="1" applyFill="1" applyBorder="1" applyAlignment="1" applyProtection="1">
      <protection locked="0"/>
    </xf>
    <xf numFmtId="166" fontId="1" fillId="0" borderId="22" xfId="7" applyNumberFormat="1" applyFont="1" applyFill="1" applyBorder="1" applyAlignment="1" applyProtection="1">
      <protection locked="0"/>
    </xf>
    <xf numFmtId="166" fontId="1" fillId="0" borderId="2" xfId="7" applyNumberFormat="1" applyFont="1" applyFill="1" applyBorder="1" applyAlignment="1" applyProtection="1">
      <protection locked="0"/>
    </xf>
    <xf numFmtId="10" fontId="1" fillId="0" borderId="27" xfId="7" applyNumberFormat="1" applyFont="1" applyFill="1" applyBorder="1" applyAlignment="1" applyProtection="1">
      <protection locked="0"/>
    </xf>
    <xf numFmtId="10" fontId="1" fillId="0" borderId="0" xfId="7" applyNumberFormat="1" applyFont="1" applyFill="1" applyBorder="1" applyAlignment="1" applyProtection="1">
      <protection locked="0"/>
    </xf>
    <xf numFmtId="10" fontId="1" fillId="0" borderId="26" xfId="7" applyNumberFormat="1" applyFont="1" applyFill="1" applyBorder="1" applyAlignment="1" applyProtection="1">
      <protection locked="0"/>
    </xf>
    <xf numFmtId="3" fontId="1" fillId="0" borderId="0" xfId="7" applyNumberFormat="1" applyFont="1" applyFill="1" applyBorder="1" applyAlignment="1" applyProtection="1">
      <protection locked="0"/>
    </xf>
    <xf numFmtId="3" fontId="1" fillId="0" borderId="27" xfId="7" applyNumberFormat="1" applyFont="1" applyFill="1" applyBorder="1" applyAlignment="1" applyProtection="1">
      <protection locked="0"/>
    </xf>
    <xf numFmtId="3" fontId="1" fillId="0" borderId="26" xfId="7" applyNumberFormat="1" applyFont="1" applyFill="1" applyBorder="1" applyAlignment="1" applyProtection="1">
      <protection locked="0"/>
    </xf>
    <xf numFmtId="0" fontId="9" fillId="0" borderId="16" xfId="7" applyFont="1" applyFill="1" applyBorder="1" applyAlignment="1" applyProtection="1">
      <alignment horizontal="left"/>
      <protection locked="0"/>
    </xf>
    <xf numFmtId="3" fontId="1" fillId="0" borderId="38" xfId="7" applyNumberFormat="1" applyFont="1" applyFill="1" applyBorder="1" applyAlignment="1" applyProtection="1">
      <protection locked="0"/>
    </xf>
    <xf numFmtId="3" fontId="1" fillId="0" borderId="39" xfId="7" applyNumberFormat="1" applyFont="1" applyFill="1" applyBorder="1" applyAlignment="1" applyProtection="1">
      <protection locked="0"/>
    </xf>
    <xf numFmtId="3" fontId="1" fillId="0" borderId="40" xfId="7" applyNumberFormat="1" applyFont="1" applyFill="1" applyBorder="1" applyAlignment="1" applyProtection="1">
      <protection locked="0"/>
    </xf>
    <xf numFmtId="0" fontId="14" fillId="0" borderId="0" xfId="6" applyNumberFormat="1" applyFont="1" applyFill="1" applyAlignment="1" applyProtection="1">
      <protection locked="0"/>
    </xf>
    <xf numFmtId="0" fontId="4" fillId="7" borderId="0" xfId="6" applyNumberFormat="1" applyFont="1" applyFill="1" applyAlignment="1" applyProtection="1">
      <protection locked="0"/>
    </xf>
    <xf numFmtId="2" fontId="4" fillId="7" borderId="0" xfId="6" applyNumberFormat="1" applyFont="1" applyFill="1" applyAlignment="1" applyProtection="1">
      <protection locked="0"/>
    </xf>
    <xf numFmtId="2" fontId="4" fillId="7" borderId="0" xfId="6" applyNumberFormat="1" applyFont="1" applyFill="1" applyBorder="1" applyAlignment="1" applyProtection="1">
      <protection locked="0"/>
    </xf>
    <xf numFmtId="0" fontId="1" fillId="0" borderId="0" xfId="4" applyFont="1" applyFill="1" applyBorder="1" applyAlignment="1" applyProtection="1">
      <alignment horizontal="center"/>
    </xf>
    <xf numFmtId="1" fontId="8" fillId="2" borderId="41" xfId="4" applyNumberFormat="1" applyFont="1" applyFill="1" applyBorder="1" applyAlignment="1" applyProtection="1">
      <alignment horizontal="center"/>
    </xf>
    <xf numFmtId="1" fontId="8" fillId="0" borderId="0" xfId="4" applyNumberFormat="1" applyFont="1" applyFill="1" applyBorder="1" applyAlignment="1" applyProtection="1">
      <alignment horizontal="center"/>
    </xf>
    <xf numFmtId="41" fontId="9" fillId="4" borderId="1" xfId="4" applyNumberFormat="1" applyFont="1" applyFill="1" applyBorder="1" applyProtection="1"/>
    <xf numFmtId="41" fontId="1" fillId="4" borderId="2" xfId="4" quotePrefix="1" applyNumberFormat="1" applyFont="1" applyFill="1" applyBorder="1" applyAlignment="1" applyProtection="1">
      <alignment horizontal="left" indent="2"/>
    </xf>
    <xf numFmtId="41" fontId="4" fillId="4" borderId="14" xfId="4" quotePrefix="1" applyNumberFormat="1" applyFont="1" applyFill="1" applyBorder="1" applyAlignment="1" applyProtection="1">
      <alignment horizontal="left" indent="1"/>
    </xf>
    <xf numFmtId="165" fontId="4" fillId="4" borderId="7" xfId="4" applyNumberFormat="1" applyFont="1" applyFill="1" applyBorder="1" applyAlignment="1">
      <alignment horizontal="right"/>
    </xf>
    <xf numFmtId="0" fontId="1" fillId="4" borderId="2" xfId="4" quotePrefix="1" applyFont="1" applyFill="1" applyBorder="1" applyAlignment="1" applyProtection="1">
      <alignment horizontal="left" indent="3"/>
    </xf>
    <xf numFmtId="41" fontId="1" fillId="4" borderId="2" xfId="4" quotePrefix="1" applyNumberFormat="1" applyFont="1" applyFill="1" applyBorder="1" applyAlignment="1">
      <alignment horizontal="left" indent="2"/>
    </xf>
    <xf numFmtId="41" fontId="1" fillId="4" borderId="2" xfId="4" quotePrefix="1" applyNumberFormat="1" applyFont="1" applyFill="1" applyBorder="1" applyAlignment="1" applyProtection="1">
      <alignment horizontal="left" indent="3"/>
    </xf>
    <xf numFmtId="41" fontId="4" fillId="4" borderId="42" xfId="4" applyNumberFormat="1" applyFont="1" applyFill="1" applyBorder="1" applyAlignment="1" applyProtection="1">
      <alignment horizontal="left"/>
    </xf>
    <xf numFmtId="165" fontId="4" fillId="4" borderId="43" xfId="4" applyNumberFormat="1" applyFont="1" applyFill="1" applyBorder="1" applyProtection="1"/>
    <xf numFmtId="41" fontId="1" fillId="5" borderId="0" xfId="4" applyNumberFormat="1" applyFont="1" applyFill="1" applyBorder="1" applyAlignment="1" applyProtection="1">
      <alignment horizontal="left" indent="4"/>
    </xf>
    <xf numFmtId="165" fontId="1" fillId="5" borderId="0" xfId="4" applyNumberFormat="1" applyFont="1" applyFill="1" applyBorder="1" applyProtection="1"/>
    <xf numFmtId="41" fontId="9" fillId="4" borderId="1" xfId="4" quotePrefix="1" applyNumberFormat="1" applyFont="1" applyFill="1" applyBorder="1" applyAlignment="1" applyProtection="1">
      <alignment horizontal="left"/>
    </xf>
    <xf numFmtId="41" fontId="9" fillId="4" borderId="2" xfId="4" applyNumberFormat="1" applyFont="1" applyFill="1" applyBorder="1" applyAlignment="1" applyProtection="1">
      <alignment horizontal="left" indent="1"/>
    </xf>
    <xf numFmtId="41" fontId="4" fillId="4" borderId="44" xfId="4" quotePrefix="1" applyNumberFormat="1" applyFont="1" applyFill="1" applyBorder="1" applyAlignment="1" applyProtection="1">
      <alignment horizontal="left" indent="1"/>
    </xf>
    <xf numFmtId="41" fontId="9" fillId="4" borderId="2" xfId="4" quotePrefix="1" applyNumberFormat="1" applyFont="1" applyFill="1" applyBorder="1" applyAlignment="1" applyProtection="1">
      <alignment horizontal="left"/>
    </xf>
    <xf numFmtId="41" fontId="4" fillId="4" borderId="42" xfId="4" quotePrefix="1" applyNumberFormat="1" applyFont="1" applyFill="1" applyBorder="1" applyAlignment="1" applyProtection="1">
      <alignment horizontal="left"/>
    </xf>
    <xf numFmtId="41" fontId="1" fillId="5" borderId="0" xfId="4" quotePrefix="1" applyNumberFormat="1" applyFont="1" applyFill="1" applyBorder="1" applyAlignment="1" applyProtection="1">
      <alignment horizontal="left" indent="4"/>
    </xf>
    <xf numFmtId="41" fontId="1" fillId="0" borderId="0" xfId="4" applyNumberFormat="1" applyFont="1" applyFill="1" applyBorder="1" applyProtection="1"/>
    <xf numFmtId="41" fontId="9" fillId="4" borderId="1" xfId="4" applyNumberFormat="1" applyFont="1" applyFill="1" applyBorder="1" applyAlignment="1" applyProtection="1">
      <alignment horizontal="left"/>
    </xf>
    <xf numFmtId="41" fontId="1" fillId="4" borderId="2" xfId="4" applyNumberFormat="1" applyFont="1" applyFill="1" applyBorder="1" applyAlignment="1" applyProtection="1">
      <alignment horizontal="left" indent="1"/>
    </xf>
    <xf numFmtId="165" fontId="0" fillId="4" borderId="0" xfId="2" applyNumberFormat="1" applyFont="1" applyFill="1" applyBorder="1" applyProtection="1"/>
    <xf numFmtId="44" fontId="0" fillId="4" borderId="0" xfId="2" applyNumberFormat="1" applyFont="1" applyFill="1" applyBorder="1" applyProtection="1"/>
    <xf numFmtId="41" fontId="1" fillId="4" borderId="11" xfId="4" quotePrefix="1" applyNumberFormat="1" applyFont="1" applyFill="1" applyBorder="1" applyAlignment="1" applyProtection="1">
      <alignment horizontal="left" indent="1"/>
    </xf>
    <xf numFmtId="41" fontId="4" fillId="4" borderId="2" xfId="4" quotePrefix="1" applyNumberFormat="1" applyFont="1" applyFill="1" applyBorder="1" applyAlignment="1" applyProtection="1">
      <alignment horizontal="left" indent="3"/>
    </xf>
    <xf numFmtId="165" fontId="4" fillId="4" borderId="0" xfId="4" applyNumberFormat="1" applyFont="1" applyFill="1" applyBorder="1" applyProtection="1"/>
    <xf numFmtId="165" fontId="4" fillId="4" borderId="4" xfId="2" applyNumberFormat="1" applyFont="1" applyFill="1" applyBorder="1" applyProtection="1"/>
    <xf numFmtId="41" fontId="1" fillId="5" borderId="4" xfId="4" quotePrefix="1" applyNumberFormat="1" applyFont="1" applyFill="1" applyBorder="1" applyAlignment="1" applyProtection="1">
      <alignment horizontal="left" indent="3"/>
    </xf>
    <xf numFmtId="41" fontId="0" fillId="0" borderId="0" xfId="2" applyNumberFormat="1" applyFont="1" applyFill="1" applyBorder="1" applyProtection="1"/>
    <xf numFmtId="165" fontId="0" fillId="5" borderId="0" xfId="2" applyNumberFormat="1" applyFont="1" applyFill="1" applyBorder="1" applyProtection="1"/>
    <xf numFmtId="165" fontId="4" fillId="0" borderId="4" xfId="2" applyNumberFormat="1" applyFont="1" applyFill="1" applyBorder="1" applyProtection="1"/>
    <xf numFmtId="41" fontId="9" fillId="0" borderId="0" xfId="4" applyNumberFormat="1" applyFont="1" applyFill="1" applyBorder="1" applyProtection="1"/>
    <xf numFmtId="165" fontId="0" fillId="0" borderId="0" xfId="2" applyNumberFormat="1" applyFont="1" applyFill="1" applyBorder="1" applyProtection="1"/>
    <xf numFmtId="1" fontId="8" fillId="3" borderId="0" xfId="4" applyNumberFormat="1" applyFont="1" applyFill="1" applyBorder="1" applyAlignment="1" applyProtection="1">
      <alignment horizontal="center"/>
    </xf>
    <xf numFmtId="41" fontId="4" fillId="0" borderId="0" xfId="4" quotePrefix="1" applyNumberFormat="1" applyFont="1" applyFill="1" applyBorder="1" applyAlignment="1" applyProtection="1">
      <alignment horizontal="left"/>
    </xf>
    <xf numFmtId="1" fontId="4" fillId="0" borderId="0" xfId="4" applyNumberFormat="1" applyFont="1" applyFill="1" applyBorder="1" applyAlignment="1" applyProtection="1">
      <alignment horizontal="center"/>
    </xf>
    <xf numFmtId="41" fontId="4" fillId="4" borderId="42" xfId="4" quotePrefix="1" applyNumberFormat="1" applyFont="1" applyFill="1" applyBorder="1" applyAlignment="1" applyProtection="1">
      <alignment horizontal="left" indent="1"/>
    </xf>
    <xf numFmtId="41" fontId="1" fillId="5" borderId="0" xfId="4" quotePrefix="1" applyNumberFormat="1" applyFont="1" applyFill="1" applyBorder="1" applyAlignment="1" applyProtection="1">
      <alignment horizontal="left" indent="3"/>
    </xf>
    <xf numFmtId="41" fontId="4" fillId="4" borderId="1" xfId="4" applyNumberFormat="1" applyFont="1" applyFill="1" applyBorder="1" applyProtection="1"/>
    <xf numFmtId="41" fontId="4" fillId="4" borderId="42" xfId="4" applyNumberFormat="1" applyFont="1" applyFill="1" applyBorder="1" applyAlignment="1" applyProtection="1">
      <alignment horizontal="left" indent="1"/>
    </xf>
    <xf numFmtId="41" fontId="1" fillId="5" borderId="0" xfId="4" applyNumberFormat="1" applyFont="1" applyFill="1" applyBorder="1" applyAlignment="1" applyProtection="1">
      <alignment horizontal="left" indent="3"/>
    </xf>
    <xf numFmtId="41" fontId="4" fillId="4" borderId="3" xfId="4" quotePrefix="1" applyNumberFormat="1" applyFont="1" applyFill="1" applyBorder="1" applyAlignment="1" applyProtection="1">
      <alignment horizontal="left" indent="1"/>
    </xf>
    <xf numFmtId="41" fontId="1" fillId="0" borderId="0" xfId="4" applyNumberFormat="1" applyFont="1" applyFill="1" applyProtection="1"/>
    <xf numFmtId="41" fontId="1" fillId="4" borderId="2" xfId="4" applyNumberFormat="1" applyFont="1" applyFill="1" applyBorder="1" applyAlignment="1">
      <alignment horizontal="left" indent="1"/>
    </xf>
    <xf numFmtId="41" fontId="4" fillId="4" borderId="44" xfId="4" applyNumberFormat="1" applyFont="1" applyFill="1" applyBorder="1" applyAlignment="1" applyProtection="1">
      <alignment horizontal="left" indent="1"/>
    </xf>
    <xf numFmtId="165" fontId="4" fillId="4" borderId="45" xfId="4" applyNumberFormat="1" applyFont="1" applyFill="1" applyBorder="1" applyProtection="1"/>
    <xf numFmtId="41" fontId="4" fillId="0" borderId="46" xfId="4" applyNumberFormat="1" applyFont="1" applyFill="1" applyBorder="1" applyAlignment="1" applyProtection="1">
      <alignment horizontal="left" indent="1"/>
    </xf>
    <xf numFmtId="165" fontId="4" fillId="0" borderId="0" xfId="4" applyNumberFormat="1" applyFont="1" applyFill="1" applyBorder="1" applyProtection="1"/>
    <xf numFmtId="41" fontId="4" fillId="4" borderId="3" xfId="4" applyNumberFormat="1" applyFont="1" applyFill="1" applyBorder="1" applyAlignment="1" applyProtection="1">
      <alignment horizontal="left" indent="1"/>
    </xf>
    <xf numFmtId="41" fontId="1" fillId="0" borderId="0" xfId="4" quotePrefix="1" applyNumberFormat="1" applyFont="1" applyFill="1" applyBorder="1" applyAlignment="1" applyProtection="1">
      <alignment horizontal="left" indent="3"/>
    </xf>
    <xf numFmtId="165" fontId="1" fillId="4" borderId="0" xfId="4" applyNumberFormat="1" applyFont="1" applyFill="1" applyBorder="1" applyAlignment="1">
      <alignment horizontal="right"/>
    </xf>
    <xf numFmtId="41" fontId="4" fillId="0" borderId="2" xfId="4" quotePrefix="1" applyNumberFormat="1" applyFont="1" applyFill="1" applyBorder="1" applyAlignment="1" applyProtection="1">
      <alignment horizontal="left" indent="1"/>
    </xf>
    <xf numFmtId="41" fontId="1" fillId="0" borderId="0" xfId="4" quotePrefix="1" applyNumberFormat="1" applyFont="1" applyFill="1" applyProtection="1"/>
    <xf numFmtId="165" fontId="1" fillId="4" borderId="5" xfId="1" applyNumberFormat="1" applyFont="1" applyFill="1" applyBorder="1"/>
    <xf numFmtId="0" fontId="15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horizontal="left" vertical="center" indent="1"/>
    </xf>
    <xf numFmtId="0" fontId="17" fillId="0" borderId="0" xfId="4" applyFont="1" applyAlignment="1">
      <alignment horizontal="left" vertical="center" indent="2"/>
    </xf>
    <xf numFmtId="0" fontId="4" fillId="4" borderId="2" xfId="4" applyFont="1" applyFill="1" applyBorder="1" applyAlignment="1">
      <alignment horizontal="left"/>
    </xf>
    <xf numFmtId="0" fontId="1" fillId="0" borderId="4" xfId="4" applyFont="1" applyBorder="1"/>
    <xf numFmtId="41" fontId="1" fillId="0" borderId="4" xfId="4" applyNumberFormat="1" applyFont="1" applyBorder="1"/>
    <xf numFmtId="41" fontId="1" fillId="0" borderId="25" xfId="7" applyNumberFormat="1" applyFont="1" applyFill="1" applyBorder="1" applyAlignment="1" applyProtection="1">
      <protection locked="0"/>
    </xf>
    <xf numFmtId="41" fontId="1" fillId="0" borderId="20" xfId="7" applyNumberFormat="1" applyFont="1" applyFill="1" applyBorder="1" applyAlignment="1" applyProtection="1">
      <protection locked="0"/>
    </xf>
    <xf numFmtId="0" fontId="4" fillId="4" borderId="3" xfId="4" applyFont="1" applyFill="1" applyBorder="1"/>
    <xf numFmtId="3" fontId="1" fillId="3" borderId="8" xfId="7" applyNumberFormat="1" applyFont="1" applyFill="1" applyBorder="1" applyAlignment="1"/>
    <xf numFmtId="3" fontId="1" fillId="3" borderId="9" xfId="7" applyNumberFormat="1" applyFont="1" applyFill="1" applyBorder="1" applyAlignment="1"/>
    <xf numFmtId="3" fontId="1" fillId="3" borderId="10" xfId="7" applyNumberFormat="1" applyFont="1" applyFill="1" applyBorder="1" applyAlignment="1"/>
    <xf numFmtId="168" fontId="4" fillId="3" borderId="8" xfId="7" applyNumberFormat="1" applyFont="1" applyFill="1" applyBorder="1" applyAlignment="1"/>
    <xf numFmtId="168" fontId="4" fillId="3" borderId="9" xfId="7" applyNumberFormat="1" applyFont="1" applyFill="1" applyBorder="1" applyAlignment="1"/>
    <xf numFmtId="168" fontId="4" fillId="3" borderId="10" xfId="7" applyNumberFormat="1" applyFont="1" applyFill="1" applyBorder="1" applyAlignment="1"/>
    <xf numFmtId="0" fontId="1" fillId="4" borderId="0" xfId="4" applyFill="1"/>
    <xf numFmtId="41" fontId="1" fillId="4" borderId="0" xfId="4" applyNumberFormat="1" applyFill="1"/>
    <xf numFmtId="41" fontId="1" fillId="4" borderId="4" xfId="4" applyNumberFormat="1" applyFill="1" applyBorder="1"/>
    <xf numFmtId="41" fontId="1" fillId="4" borderId="5" xfId="4" applyNumberFormat="1" applyFill="1" applyBorder="1"/>
    <xf numFmtId="41" fontId="4" fillId="4" borderId="4" xfId="4" applyNumberFormat="1" applyFont="1" applyFill="1" applyBorder="1"/>
    <xf numFmtId="0" fontId="1" fillId="4" borderId="5" xfId="4" applyFill="1" applyBorder="1"/>
  </cellXfs>
  <cellStyles count="9">
    <cellStyle name="Comma" xfId="1" builtinId="3"/>
    <cellStyle name="Currency" xfId="2" builtinId="4"/>
    <cellStyle name="Normal" xfId="0" builtinId="0"/>
    <cellStyle name="Normal 36 2" xfId="4"/>
    <cellStyle name="Normal 37" xfId="5"/>
    <cellStyle name="Normal_Budget Plan01-02 version 10-17 " xfId="8"/>
    <cellStyle name="Normal_Debt Service Schedule for Rating Agency" xfId="7"/>
    <cellStyle name="Normal_ES Projection 10 Year Final Base Case - 111506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apps.corp.jea.com/vGDriveFiles/GenerationInfo/HRCurves/HEATR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ot\Users\EtoG\edwame\COMPAPER\Debt%20Service%20Fiscal%20Year%202002%20C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Users\EtoG\edwame\COMPAPER\Debt%20Service%20Fiscal%20Year%202002%20C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root\Users\EtoG\edwame\COMPAPER\Debt%20Service%20Fiscal%20Year%202002%20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RC"/>
      <sheetName val="SOCC FORMAT"/>
      <sheetName val="load &amp; start MBTU"/>
      <sheetName val="start costs"/>
      <sheetName val="graphsheet"/>
      <sheetName val="LRG steam"/>
      <sheetName val="MED grph"/>
      <sheetName val="CT grph"/>
      <sheetName val="load ranges"/>
      <sheetName val="STEAM"/>
      <sheetName val="LCT"/>
      <sheetName val="CT"/>
      <sheetName val="OLD UNITS"/>
      <sheetName val="JEAFPLgrph"/>
      <sheetName val="STEAMgrph"/>
      <sheetName val="LRG CTgrph"/>
      <sheetName val="SMALL CTgrph"/>
      <sheetName val="NSCTgrph"/>
      <sheetName val="KSCTgrph"/>
      <sheetName val="DD"/>
    </sheetNames>
    <sheetDataSet>
      <sheetData sheetId="0"/>
      <sheetData sheetId="1">
        <row r="8">
          <cell r="I8">
            <v>531.8602079380961</v>
          </cell>
        </row>
      </sheetData>
      <sheetData sheetId="2"/>
      <sheetData sheetId="3"/>
      <sheetData sheetId="4">
        <row r="5">
          <cell r="AS5" t="str">
            <v>KCT-3</v>
          </cell>
        </row>
      </sheetData>
      <sheetData sheetId="5">
        <row r="5">
          <cell r="AS5" t="str">
            <v>KCT-3</v>
          </cell>
        </row>
      </sheetData>
      <sheetData sheetId="6">
        <row r="5">
          <cell r="AS5" t="str">
            <v>KCT-3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B"/>
      <sheetName val="Series C"/>
      <sheetName val="Rates"/>
      <sheetName val="Series C CP Fe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14"/>
  <sheetViews>
    <sheetView tabSelected="1" workbookViewId="0">
      <selection activeCell="G34" sqref="G34"/>
    </sheetView>
  </sheetViews>
  <sheetFormatPr defaultRowHeight="15"/>
  <cols>
    <col min="1" max="16384" width="9.140625" style="2"/>
  </cols>
  <sheetData>
    <row r="1" spans="1:1">
      <c r="A1" s="257" t="s">
        <v>248</v>
      </c>
    </row>
    <row r="2" spans="1:1">
      <c r="A2" s="258"/>
    </row>
    <row r="3" spans="1:1">
      <c r="A3" s="259" t="s">
        <v>249</v>
      </c>
    </row>
    <row r="4" spans="1:1">
      <c r="A4" s="259" t="s">
        <v>256</v>
      </c>
    </row>
    <row r="5" spans="1:1">
      <c r="A5" s="259" t="s">
        <v>250</v>
      </c>
    </row>
    <row r="6" spans="1:1">
      <c r="A6" s="259" t="s">
        <v>255</v>
      </c>
    </row>
    <row r="7" spans="1:1">
      <c r="A7" s="259" t="s">
        <v>257</v>
      </c>
    </row>
    <row r="8" spans="1:1">
      <c r="A8" s="259" t="s">
        <v>251</v>
      </c>
    </row>
    <row r="9" spans="1:1">
      <c r="A9" s="259" t="s">
        <v>252</v>
      </c>
    </row>
    <row r="10" spans="1:1">
      <c r="A10" s="259" t="s">
        <v>253</v>
      </c>
    </row>
    <row r="11" spans="1:1">
      <c r="A11" s="259" t="s">
        <v>254</v>
      </c>
    </row>
    <row r="12" spans="1:1">
      <c r="A12" s="260" t="s">
        <v>246</v>
      </c>
    </row>
    <row r="13" spans="1:1">
      <c r="A13" s="260" t="s">
        <v>258</v>
      </c>
    </row>
    <row r="14" spans="1:1">
      <c r="A14" s="260" t="s">
        <v>247</v>
      </c>
    </row>
  </sheetData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2:K145"/>
  <sheetViews>
    <sheetView view="pageBreakPreview" zoomScale="70" zoomScaleNormal="60" zoomScaleSheetLayoutView="70" workbookViewId="0">
      <pane xSplit="1" ySplit="6" topLeftCell="B7" activePane="bottomRight" state="frozen"/>
      <selection activeCell="C41" activeCellId="1" sqref="C19 C41"/>
      <selection pane="topRight" activeCell="C41" activeCellId="1" sqref="C19 C41"/>
      <selection pane="bottomLeft" activeCell="C41" activeCellId="1" sqref="C19 C41"/>
      <selection pane="bottomRight" activeCell="D39" sqref="D39"/>
    </sheetView>
  </sheetViews>
  <sheetFormatPr defaultColWidth="7.85546875" defaultRowHeight="15" outlineLevelRow="1"/>
  <cols>
    <col min="1" max="1" width="91.140625" style="62" customWidth="1"/>
    <col min="2" max="2" width="24.28515625" style="19" customWidth="1"/>
    <col min="3" max="3" width="19.140625" style="19" customWidth="1"/>
    <col min="4" max="7" width="22.140625" style="19" bestFit="1" customWidth="1"/>
    <col min="8" max="8" width="18.28515625" style="19" bestFit="1" customWidth="1"/>
    <col min="9" max="9" width="21.5703125" style="19" bestFit="1" customWidth="1"/>
    <col min="10" max="10" width="14" style="19" bestFit="1" customWidth="1"/>
    <col min="11" max="11" width="11.42578125" style="19" bestFit="1" customWidth="1"/>
    <col min="12" max="16384" width="7.85546875" style="19"/>
  </cols>
  <sheetData>
    <row r="2" spans="1:9" ht="18">
      <c r="A2" s="4" t="s">
        <v>0</v>
      </c>
      <c r="C2" s="62"/>
      <c r="G2" s="20" t="s">
        <v>150</v>
      </c>
    </row>
    <row r="3" spans="1:9" ht="18">
      <c r="A3" s="3" t="s">
        <v>1</v>
      </c>
      <c r="C3" s="66"/>
      <c r="D3" s="62"/>
      <c r="E3" s="62"/>
      <c r="F3" s="20" t="s">
        <v>151</v>
      </c>
      <c r="G3" s="22">
        <f ca="1">TODAY()</f>
        <v>43761</v>
      </c>
    </row>
    <row r="4" spans="1:9" ht="18">
      <c r="A4" s="4" t="s">
        <v>124</v>
      </c>
      <c r="B4" s="201"/>
      <c r="C4" s="201"/>
      <c r="D4" s="201"/>
    </row>
    <row r="5" spans="1:9" ht="18">
      <c r="A5" s="1" t="s">
        <v>3</v>
      </c>
      <c r="B5" s="202" t="s">
        <v>125</v>
      </c>
      <c r="C5" s="24" t="s">
        <v>4</v>
      </c>
      <c r="D5" s="24" t="s">
        <v>4</v>
      </c>
      <c r="E5" s="24" t="s">
        <v>4</v>
      </c>
      <c r="F5" s="24" t="s">
        <v>4</v>
      </c>
      <c r="G5" s="24" t="s">
        <v>4</v>
      </c>
    </row>
    <row r="6" spans="1:9" ht="15.75">
      <c r="A6" s="25" t="s">
        <v>242</v>
      </c>
      <c r="B6" s="25">
        <v>2019</v>
      </c>
      <c r="C6" s="26">
        <f t="shared" ref="C6:G6" si="0">B6+1</f>
        <v>2020</v>
      </c>
      <c r="D6" s="26">
        <f t="shared" si="0"/>
        <v>2021</v>
      </c>
      <c r="E6" s="26">
        <f t="shared" si="0"/>
        <v>2022</v>
      </c>
      <c r="F6" s="26">
        <f t="shared" si="0"/>
        <v>2023</v>
      </c>
      <c r="G6" s="26">
        <f t="shared" si="0"/>
        <v>2024</v>
      </c>
    </row>
    <row r="7" spans="1:9" ht="18">
      <c r="A7" s="1" t="s">
        <v>41</v>
      </c>
      <c r="B7" s="203"/>
      <c r="C7" s="203"/>
      <c r="D7" s="203"/>
      <c r="E7" s="203"/>
      <c r="F7" s="203"/>
      <c r="G7" s="203"/>
    </row>
    <row r="8" spans="1:9">
      <c r="A8" s="204" t="s">
        <v>42</v>
      </c>
      <c r="B8" s="28"/>
      <c r="C8" s="28"/>
      <c r="D8" s="28"/>
      <c r="E8" s="28"/>
      <c r="F8" s="28"/>
      <c r="G8" s="28"/>
    </row>
    <row r="9" spans="1:9">
      <c r="A9" s="205" t="s">
        <v>43</v>
      </c>
      <c r="B9" s="30"/>
      <c r="C9" s="30"/>
      <c r="D9" s="30"/>
      <c r="E9" s="30"/>
      <c r="F9" s="30"/>
      <c r="G9" s="30"/>
    </row>
    <row r="10" spans="1:9">
      <c r="A10" s="68" t="s">
        <v>45</v>
      </c>
      <c r="B10" s="31">
        <v>35604.635000000002</v>
      </c>
      <c r="C10" s="31">
        <v>35604.635000000002</v>
      </c>
      <c r="D10" s="31">
        <v>35604.635000000002</v>
      </c>
      <c r="E10" s="31">
        <v>35604.635000000002</v>
      </c>
      <c r="F10" s="31">
        <v>35604.635000000002</v>
      </c>
      <c r="G10" s="31">
        <v>35604.635000000002</v>
      </c>
    </row>
    <row r="11" spans="1:9">
      <c r="A11" s="68" t="s">
        <v>46</v>
      </c>
      <c r="B11" s="31">
        <v>29884.151570000002</v>
      </c>
      <c r="C11" s="31">
        <v>0.15157000000181142</v>
      </c>
      <c r="D11" s="31">
        <v>0.15157000000181142</v>
      </c>
      <c r="E11" s="31">
        <v>0.15157000000181142</v>
      </c>
      <c r="F11" s="31">
        <v>0.15157000000181142</v>
      </c>
      <c r="G11" s="31">
        <v>0.15157000000181142</v>
      </c>
      <c r="I11" s="66"/>
    </row>
    <row r="12" spans="1:9">
      <c r="A12" s="68" t="s">
        <v>48</v>
      </c>
      <c r="B12" s="31">
        <v>21210.440000000002</v>
      </c>
      <c r="C12" s="31">
        <v>19214</v>
      </c>
      <c r="D12" s="31">
        <v>19214</v>
      </c>
      <c r="E12" s="31">
        <v>19214</v>
      </c>
      <c r="F12" s="31">
        <v>19214</v>
      </c>
      <c r="G12" s="31">
        <v>19214</v>
      </c>
      <c r="I12" s="66"/>
    </row>
    <row r="13" spans="1:9">
      <c r="A13" s="68" t="s">
        <v>49</v>
      </c>
      <c r="B13" s="31">
        <v>47151.616999999998</v>
      </c>
      <c r="C13" s="31">
        <v>95998.47231445236</v>
      </c>
      <c r="D13" s="31">
        <v>97275.526346338724</v>
      </c>
      <c r="E13" s="31">
        <v>100952.43018953533</v>
      </c>
      <c r="F13" s="31">
        <v>107560.68576718056</v>
      </c>
      <c r="G13" s="31">
        <v>111000.70141931795</v>
      </c>
      <c r="I13" s="66"/>
    </row>
    <row r="14" spans="1:9">
      <c r="A14" s="68" t="s">
        <v>51</v>
      </c>
      <c r="B14" s="31">
        <v>56870.237000000001</v>
      </c>
      <c r="C14" s="31">
        <v>35262.237000000001</v>
      </c>
      <c r="D14" s="31">
        <v>937.23700000000099</v>
      </c>
      <c r="E14" s="31">
        <v>937.23700000000099</v>
      </c>
      <c r="F14" s="31">
        <v>937.23700000000099</v>
      </c>
      <c r="G14" s="31">
        <v>937.23700000000099</v>
      </c>
      <c r="I14" s="66"/>
    </row>
    <row r="15" spans="1:9">
      <c r="A15" s="68" t="s">
        <v>52</v>
      </c>
      <c r="B15" s="31">
        <v>25632.166000000001</v>
      </c>
      <c r="C15" s="31">
        <v>8259.0750000000007</v>
      </c>
      <c r="D15" s="31">
        <v>9190.2294499999989</v>
      </c>
      <c r="E15" s="31">
        <v>14167.247713499997</v>
      </c>
      <c r="F15" s="31">
        <v>19073.976524904996</v>
      </c>
      <c r="G15" s="31">
        <v>23908.307200652147</v>
      </c>
      <c r="I15" s="66"/>
    </row>
    <row r="16" spans="1:9">
      <c r="A16" s="68" t="s">
        <v>54</v>
      </c>
      <c r="B16" s="31">
        <v>16567.59952</v>
      </c>
      <c r="C16" s="31">
        <v>15067.59952</v>
      </c>
      <c r="D16" s="31">
        <v>14567.59952</v>
      </c>
      <c r="E16" s="31">
        <v>9567.5995199999998</v>
      </c>
      <c r="F16" s="31">
        <v>5567.5995199999998</v>
      </c>
      <c r="G16" s="31">
        <v>2567.5995199999998</v>
      </c>
      <c r="I16" s="66"/>
    </row>
    <row r="17" spans="1:9">
      <c r="A17" s="68" t="s">
        <v>55</v>
      </c>
      <c r="B17" s="31">
        <v>4363.1899999999996</v>
      </c>
      <c r="C17" s="31">
        <v>5401.8989999999994</v>
      </c>
      <c r="D17" s="31">
        <v>6301.5049999999992</v>
      </c>
      <c r="E17" s="31">
        <v>7201.110999999999</v>
      </c>
      <c r="F17" s="31">
        <v>8100.7169999999987</v>
      </c>
      <c r="G17" s="31">
        <v>9000.3229999999985</v>
      </c>
      <c r="I17" s="66"/>
    </row>
    <row r="18" spans="1:9">
      <c r="A18" s="68" t="s">
        <v>56</v>
      </c>
      <c r="B18" s="31">
        <v>44785</v>
      </c>
      <c r="C18" s="31">
        <v>45008.925000000003</v>
      </c>
      <c r="D18" s="31">
        <v>45233.969625000005</v>
      </c>
      <c r="E18" s="31">
        <v>45460.139473125004</v>
      </c>
      <c r="F18" s="31">
        <v>45687.440170490627</v>
      </c>
      <c r="G18" s="31">
        <v>45915.877371343078</v>
      </c>
      <c r="I18" s="66"/>
    </row>
    <row r="19" spans="1:9" ht="16.5" thickBot="1">
      <c r="A19" s="206" t="s">
        <v>57</v>
      </c>
      <c r="B19" s="207">
        <f t="shared" ref="B19" si="1">SUM(B10:B18)</f>
        <v>282069.03608999995</v>
      </c>
      <c r="C19" s="207">
        <v>259816.99440445239</v>
      </c>
      <c r="D19" s="207">
        <v>228324.85351133873</v>
      </c>
      <c r="E19" s="207">
        <v>233104.55146616034</v>
      </c>
      <c r="F19" s="207">
        <v>241746.44255257616</v>
      </c>
      <c r="G19" s="207">
        <v>248148.83208131316</v>
      </c>
      <c r="I19" s="66"/>
    </row>
    <row r="20" spans="1:9" ht="15.75" thickTop="1">
      <c r="A20" s="205" t="s">
        <v>58</v>
      </c>
      <c r="B20" s="30"/>
      <c r="C20" s="30"/>
      <c r="D20" s="30"/>
      <c r="E20" s="30"/>
      <c r="F20" s="30"/>
      <c r="G20" s="30"/>
      <c r="I20" s="66"/>
    </row>
    <row r="21" spans="1:9">
      <c r="A21" s="208" t="s">
        <v>59</v>
      </c>
      <c r="B21" s="31">
        <v>171854.459</v>
      </c>
      <c r="C21" s="31">
        <v>166959.57638842447</v>
      </c>
      <c r="D21" s="31">
        <v>161252.6736106087</v>
      </c>
      <c r="E21" s="31">
        <v>164522.973806319</v>
      </c>
      <c r="F21" s="31">
        <v>169312.52835765219</v>
      </c>
      <c r="G21" s="31">
        <v>175143.33840022574</v>
      </c>
      <c r="I21" s="66"/>
    </row>
    <row r="22" spans="1:9">
      <c r="A22" s="209" t="s">
        <v>60</v>
      </c>
      <c r="B22" s="31">
        <v>19410.555</v>
      </c>
      <c r="C22" s="31">
        <v>19495.727493501792</v>
      </c>
      <c r="D22" s="31">
        <v>19690.684768436804</v>
      </c>
      <c r="E22" s="31">
        <v>19887.591616121172</v>
      </c>
      <c r="F22" s="31">
        <v>20086.467516623503</v>
      </c>
      <c r="G22" s="31">
        <v>20287.332223264097</v>
      </c>
      <c r="I22" s="66"/>
    </row>
    <row r="23" spans="1:9">
      <c r="A23" s="209" t="s">
        <v>62</v>
      </c>
      <c r="B23" s="31">
        <v>0</v>
      </c>
      <c r="C23" s="31">
        <v>1052.1657885416666</v>
      </c>
      <c r="D23" s="31">
        <v>1062.6874464270834</v>
      </c>
      <c r="E23" s="31">
        <v>1073.3143208913541</v>
      </c>
      <c r="F23" s="31">
        <v>1084.0474641002677</v>
      </c>
      <c r="G23" s="31">
        <v>1094.8879387412705</v>
      </c>
      <c r="I23" s="66"/>
    </row>
    <row r="24" spans="1:9">
      <c r="A24" s="65" t="s">
        <v>63</v>
      </c>
      <c r="B24" s="30"/>
      <c r="C24" s="30"/>
      <c r="D24" s="30"/>
      <c r="E24" s="30"/>
      <c r="F24" s="30"/>
      <c r="G24" s="30"/>
      <c r="I24" s="66"/>
    </row>
    <row r="25" spans="1:9">
      <c r="A25" s="210" t="s">
        <v>65</v>
      </c>
      <c r="B25" s="31">
        <v>30897.873</v>
      </c>
      <c r="C25" s="31">
        <v>24527.355221000991</v>
      </c>
      <c r="D25" s="31">
        <v>25131.702156917341</v>
      </c>
      <c r="E25" s="31">
        <v>24959.817676379498</v>
      </c>
      <c r="F25" s="31">
        <v>24904.787166825183</v>
      </c>
      <c r="G25" s="31">
        <v>25131.48231278305</v>
      </c>
      <c r="I25" s="66"/>
    </row>
    <row r="26" spans="1:9">
      <c r="A26" s="210" t="s">
        <v>66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I26" s="66"/>
    </row>
    <row r="27" spans="1:9">
      <c r="A27" s="210" t="s">
        <v>67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I27" s="66"/>
    </row>
    <row r="28" spans="1:9">
      <c r="A28" s="210" t="s">
        <v>69</v>
      </c>
      <c r="B28" s="31">
        <v>2218.654</v>
      </c>
      <c r="C28" s="31">
        <v>2218.654</v>
      </c>
      <c r="D28" s="31">
        <v>2218.654</v>
      </c>
      <c r="E28" s="31">
        <v>2218.654</v>
      </c>
      <c r="F28" s="31">
        <v>2218.654</v>
      </c>
      <c r="G28" s="31">
        <v>2218.654</v>
      </c>
      <c r="I28" s="66"/>
    </row>
    <row r="29" spans="1:9" ht="15.75">
      <c r="A29" s="211" t="s">
        <v>53</v>
      </c>
      <c r="B29" s="212">
        <f>SUM(B21:B28)+B19</f>
        <v>506450.57708999992</v>
      </c>
      <c r="C29" s="212">
        <v>474070.47329592129</v>
      </c>
      <c r="D29" s="212">
        <v>437681.25549372868</v>
      </c>
      <c r="E29" s="212">
        <v>445766.90288587136</v>
      </c>
      <c r="F29" s="212">
        <v>459352.9270577773</v>
      </c>
      <c r="G29" s="212">
        <v>472024.52695632726</v>
      </c>
      <c r="I29" s="66"/>
    </row>
    <row r="30" spans="1:9">
      <c r="A30" s="213"/>
      <c r="B30" s="214"/>
      <c r="C30" s="214"/>
      <c r="D30" s="214"/>
      <c r="E30" s="214"/>
      <c r="F30" s="214"/>
      <c r="G30" s="214"/>
      <c r="I30" s="66"/>
    </row>
    <row r="31" spans="1:9">
      <c r="A31" s="215" t="s">
        <v>70</v>
      </c>
      <c r="B31" s="28"/>
      <c r="C31" s="28"/>
      <c r="D31" s="28"/>
      <c r="E31" s="28"/>
      <c r="F31" s="28"/>
      <c r="G31" s="28"/>
      <c r="I31" s="66"/>
    </row>
    <row r="32" spans="1:9">
      <c r="A32" s="216" t="s">
        <v>72</v>
      </c>
      <c r="B32" s="30"/>
      <c r="C32" s="30"/>
      <c r="D32" s="30"/>
      <c r="E32" s="30"/>
      <c r="F32" s="30"/>
      <c r="G32" s="30"/>
      <c r="I32" s="66"/>
    </row>
    <row r="33" spans="1:9">
      <c r="A33" s="205" t="s">
        <v>44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I33" s="66"/>
    </row>
    <row r="34" spans="1:9">
      <c r="A34" s="205" t="s">
        <v>73</v>
      </c>
      <c r="B34" s="31">
        <v>65432.686999999998</v>
      </c>
      <c r="C34" s="31">
        <v>46996.741849999991</v>
      </c>
      <c r="D34" s="31">
        <v>45565.802599999995</v>
      </c>
      <c r="E34" s="31">
        <v>44178.981849999996</v>
      </c>
      <c r="F34" s="31">
        <v>42656.750599999992</v>
      </c>
      <c r="G34" s="31">
        <v>42038.683099999995</v>
      </c>
      <c r="I34" s="66"/>
    </row>
    <row r="35" spans="1:9">
      <c r="A35" s="205" t="s">
        <v>75</v>
      </c>
      <c r="B35" s="31">
        <v>153649.93</v>
      </c>
      <c r="C35" s="31">
        <v>106985.04744374999</v>
      </c>
      <c r="D35" s="31">
        <v>103651.8943875</v>
      </c>
      <c r="E35" s="31">
        <v>88789.918006249995</v>
      </c>
      <c r="F35" s="31">
        <v>59855.683974999993</v>
      </c>
      <c r="G35" s="31">
        <v>69763.498006249996</v>
      </c>
      <c r="I35" s="66"/>
    </row>
    <row r="36" spans="1:9">
      <c r="A36" s="205" t="s">
        <v>47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I36" s="66"/>
    </row>
    <row r="37" spans="1:9">
      <c r="A37" s="205" t="s">
        <v>77</v>
      </c>
      <c r="B37" s="31">
        <v>81964.337</v>
      </c>
      <c r="C37" s="31">
        <v>92000.825707762124</v>
      </c>
      <c r="D37" s="31">
        <v>138434.80987203593</v>
      </c>
      <c r="E37" s="31">
        <v>148362.99066721855</v>
      </c>
      <c r="F37" s="31">
        <v>186878.23645168272</v>
      </c>
      <c r="G37" s="31">
        <v>210682.20363886916</v>
      </c>
      <c r="I37" s="66"/>
    </row>
    <row r="38" spans="1:9">
      <c r="A38" s="205" t="s">
        <v>79</v>
      </c>
      <c r="B38" s="31">
        <v>0.185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I38" s="66"/>
    </row>
    <row r="39" spans="1:9">
      <c r="A39" s="205" t="s">
        <v>81</v>
      </c>
      <c r="B39" s="31">
        <v>4388.2700000000004</v>
      </c>
      <c r="C39" s="31">
        <v>4388.2700000000004</v>
      </c>
      <c r="D39" s="31">
        <v>4388.2700000000004</v>
      </c>
      <c r="E39" s="31">
        <v>4388.2700000000004</v>
      </c>
      <c r="F39" s="31">
        <v>4388.2700000000004</v>
      </c>
      <c r="G39" s="31">
        <v>4388.2700000000004</v>
      </c>
      <c r="I39" s="66"/>
    </row>
    <row r="40" spans="1:9">
      <c r="A40" s="205" t="s">
        <v>83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I40" s="66"/>
    </row>
    <row r="41" spans="1:9" ht="15.75">
      <c r="A41" s="217" t="s">
        <v>61</v>
      </c>
      <c r="B41" s="34">
        <f>SUM(B33:B40)</f>
        <v>305435.40900000004</v>
      </c>
      <c r="C41" s="34">
        <v>250370.8850015121</v>
      </c>
      <c r="D41" s="34">
        <v>292040.77685953595</v>
      </c>
      <c r="E41" s="34">
        <v>285720.16052346851</v>
      </c>
      <c r="F41" s="34">
        <v>293778.94102668273</v>
      </c>
      <c r="G41" s="34">
        <v>326872.65474511916</v>
      </c>
      <c r="I41" s="66"/>
    </row>
    <row r="42" spans="1:9">
      <c r="A42" s="218"/>
      <c r="B42" s="30"/>
      <c r="C42" s="30"/>
      <c r="D42" s="30"/>
      <c r="E42" s="30"/>
      <c r="F42" s="30"/>
      <c r="G42" s="30"/>
      <c r="I42" s="66"/>
    </row>
    <row r="43" spans="1:9">
      <c r="A43" s="205" t="s">
        <v>84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I43" s="66"/>
    </row>
    <row r="44" spans="1:9">
      <c r="A44" s="205" t="s">
        <v>86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I44" s="66"/>
    </row>
    <row r="45" spans="1:9" hidden="1" outlineLevel="1">
      <c r="A45" s="205" t="s">
        <v>87</v>
      </c>
      <c r="B45" s="30">
        <v>292232.57</v>
      </c>
      <c r="C45" s="30">
        <v>292232.57</v>
      </c>
      <c r="D45" s="30">
        <v>292232.57</v>
      </c>
      <c r="E45" s="30">
        <v>292232.57</v>
      </c>
      <c r="F45" s="30">
        <v>292232.57</v>
      </c>
      <c r="G45" s="30">
        <v>292232.57</v>
      </c>
      <c r="I45" s="66"/>
    </row>
    <row r="46" spans="1:9" hidden="1" outlineLevel="1">
      <c r="A46" s="205" t="s">
        <v>89</v>
      </c>
      <c r="B46" s="30">
        <v>1937.6320000000001</v>
      </c>
      <c r="C46" s="30">
        <v>1937.6320000000001</v>
      </c>
      <c r="D46" s="30">
        <v>1937.6320000000001</v>
      </c>
      <c r="E46" s="30">
        <v>1937.6320000000001</v>
      </c>
      <c r="F46" s="30">
        <v>1937.6320000000001</v>
      </c>
      <c r="G46" s="30">
        <v>1937.6320000000001</v>
      </c>
      <c r="I46" s="66"/>
    </row>
    <row r="47" spans="1:9" hidden="1" outlineLevel="1">
      <c r="A47" s="205" t="s">
        <v>233</v>
      </c>
      <c r="B47" s="30">
        <v>731.404</v>
      </c>
      <c r="C47" s="30">
        <v>731.404</v>
      </c>
      <c r="D47" s="30">
        <v>731.404</v>
      </c>
      <c r="E47" s="30">
        <v>731.404</v>
      </c>
      <c r="F47" s="30">
        <v>731.404</v>
      </c>
      <c r="G47" s="30">
        <v>731.404</v>
      </c>
      <c r="I47" s="66"/>
    </row>
    <row r="48" spans="1:9" hidden="1" outlineLevel="1">
      <c r="A48" s="205" t="s">
        <v>234</v>
      </c>
      <c r="B48" s="30">
        <v>22821.873</v>
      </c>
      <c r="C48" s="30">
        <v>22821.873</v>
      </c>
      <c r="D48" s="30">
        <v>22821.873</v>
      </c>
      <c r="E48" s="30">
        <v>22821.873</v>
      </c>
      <c r="F48" s="30">
        <v>22821.873</v>
      </c>
      <c r="G48" s="30">
        <v>22821.873</v>
      </c>
      <c r="I48" s="66"/>
    </row>
    <row r="49" spans="1:9" hidden="1" outlineLevel="1">
      <c r="A49" s="205" t="s">
        <v>90</v>
      </c>
      <c r="B49" s="30">
        <v>9837.3539999999994</v>
      </c>
      <c r="C49" s="30">
        <v>2000</v>
      </c>
      <c r="D49" s="30">
        <v>2000</v>
      </c>
      <c r="E49" s="30">
        <v>2000</v>
      </c>
      <c r="F49" s="30">
        <v>2000</v>
      </c>
      <c r="G49" s="30">
        <v>2000</v>
      </c>
      <c r="I49" s="66"/>
    </row>
    <row r="50" spans="1:9" hidden="1" outlineLevel="1">
      <c r="A50" s="205" t="s">
        <v>92</v>
      </c>
      <c r="B50" s="30">
        <v>12446.666999999999</v>
      </c>
      <c r="C50" s="30">
        <v>12446.666999999999</v>
      </c>
      <c r="D50" s="30">
        <v>12446.666999999999</v>
      </c>
      <c r="E50" s="30">
        <v>12446.666999999999</v>
      </c>
      <c r="F50" s="30">
        <v>12446.666999999999</v>
      </c>
      <c r="G50" s="30">
        <v>12446.666999999999</v>
      </c>
      <c r="I50" s="66"/>
    </row>
    <row r="51" spans="1:9" hidden="1" outlineLevel="1">
      <c r="A51" s="205" t="s">
        <v>94</v>
      </c>
      <c r="B51" s="30">
        <v>3238.8910000000001</v>
      </c>
      <c r="C51" s="30">
        <v>3238.8910000000001</v>
      </c>
      <c r="D51" s="30">
        <v>3238.8910000000001</v>
      </c>
      <c r="E51" s="30">
        <v>3238.8910000000001</v>
      </c>
      <c r="F51" s="30">
        <v>3238.8910000000001</v>
      </c>
      <c r="G51" s="30">
        <v>3238.8910000000001</v>
      </c>
      <c r="I51" s="66"/>
    </row>
    <row r="52" spans="1:9" collapsed="1">
      <c r="A52" s="68" t="s">
        <v>64</v>
      </c>
      <c r="B52" s="31">
        <f>SUM(B45:B51)</f>
        <v>343246.391</v>
      </c>
      <c r="C52" s="31">
        <v>335409.03700000001</v>
      </c>
      <c r="D52" s="31">
        <v>335409.03700000001</v>
      </c>
      <c r="E52" s="31">
        <v>335409.03700000001</v>
      </c>
      <c r="F52" s="31">
        <v>335409.03700000001</v>
      </c>
      <c r="G52" s="31">
        <v>335409.03700000001</v>
      </c>
      <c r="I52" s="66"/>
    </row>
    <row r="53" spans="1:9">
      <c r="A53" s="68" t="s">
        <v>95</v>
      </c>
      <c r="B53" s="31">
        <v>16284.775</v>
      </c>
      <c r="C53" s="31">
        <v>16284.775</v>
      </c>
      <c r="D53" s="31">
        <v>16284.775</v>
      </c>
      <c r="E53" s="31">
        <v>16284.775</v>
      </c>
      <c r="F53" s="31">
        <v>16284.775</v>
      </c>
      <c r="G53" s="31">
        <v>16284.775</v>
      </c>
      <c r="I53" s="66"/>
    </row>
    <row r="54" spans="1:9">
      <c r="A54" s="68" t="s">
        <v>96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I54" s="66"/>
    </row>
    <row r="55" spans="1:9">
      <c r="A55" s="68" t="s">
        <v>97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I55" s="66"/>
    </row>
    <row r="56" spans="1:9" ht="15.75">
      <c r="A56" s="219" t="s">
        <v>68</v>
      </c>
      <c r="B56" s="212">
        <f t="shared" ref="B56" si="2">B43+B44+SUM(B52:B55)</f>
        <v>359531.16600000003</v>
      </c>
      <c r="C56" s="212">
        <v>351693.81200000003</v>
      </c>
      <c r="D56" s="212">
        <v>351693.81200000003</v>
      </c>
      <c r="E56" s="212">
        <v>351693.81200000003</v>
      </c>
      <c r="F56" s="212">
        <v>351693.81200000003</v>
      </c>
      <c r="G56" s="212">
        <v>351693.81200000003</v>
      </c>
      <c r="I56" s="66"/>
    </row>
    <row r="57" spans="1:9">
      <c r="A57" s="220"/>
      <c r="B57" s="221"/>
      <c r="C57" s="214"/>
      <c r="D57" s="214"/>
      <c r="E57" s="214"/>
      <c r="F57" s="214"/>
      <c r="G57" s="214"/>
      <c r="I57" s="66"/>
    </row>
    <row r="58" spans="1:9">
      <c r="A58" s="222" t="s">
        <v>99</v>
      </c>
      <c r="B58" s="28"/>
      <c r="C58" s="28"/>
      <c r="D58" s="28"/>
      <c r="E58" s="28"/>
      <c r="F58" s="28"/>
      <c r="G58" s="28"/>
      <c r="I58" s="66"/>
    </row>
    <row r="59" spans="1:9">
      <c r="A59" s="223" t="s">
        <v>100</v>
      </c>
      <c r="B59" s="31">
        <v>124456.924</v>
      </c>
      <c r="C59" s="31">
        <v>124456.924</v>
      </c>
      <c r="D59" s="31">
        <v>124456.924</v>
      </c>
      <c r="E59" s="31">
        <v>124456.924</v>
      </c>
      <c r="F59" s="31">
        <v>124456.924</v>
      </c>
      <c r="G59" s="31">
        <v>124456.924</v>
      </c>
      <c r="I59" s="66"/>
    </row>
    <row r="60" spans="1:9" ht="15.75">
      <c r="A60" s="223" t="s">
        <v>101</v>
      </c>
      <c r="B60" s="224">
        <v>5598588.6619999995</v>
      </c>
      <c r="C60" s="224">
        <v>5802489.6619999995</v>
      </c>
      <c r="D60" s="225">
        <v>5986076.2975884993</v>
      </c>
      <c r="E60" s="224">
        <v>6184401.7855884992</v>
      </c>
      <c r="F60" s="224">
        <v>6359834.1855884995</v>
      </c>
      <c r="G60" s="224">
        <v>6512310.3855884997</v>
      </c>
      <c r="I60" s="66"/>
    </row>
    <row r="61" spans="1:9">
      <c r="A61" s="226" t="s">
        <v>103</v>
      </c>
      <c r="B61" s="53">
        <v>-3252636.7050000001</v>
      </c>
      <c r="C61" s="53">
        <v>-3466183.2205196167</v>
      </c>
      <c r="D61" s="53">
        <v>-3686340.5856392332</v>
      </c>
      <c r="E61" s="53">
        <v>-3912345.6974255168</v>
      </c>
      <c r="F61" s="53">
        <v>-4143433.3492117999</v>
      </c>
      <c r="G61" s="53">
        <v>-4380442.4125764165</v>
      </c>
      <c r="I61" s="66"/>
    </row>
    <row r="62" spans="1:9" ht="15.75">
      <c r="A62" s="227" t="s">
        <v>104</v>
      </c>
      <c r="B62" s="228">
        <f t="shared" ref="B62" si="3">SUM(B59:B61)</f>
        <v>2470408.8809999991</v>
      </c>
      <c r="C62" s="228">
        <v>2460763.3654803825</v>
      </c>
      <c r="D62" s="228">
        <v>2424192.6359492657</v>
      </c>
      <c r="E62" s="228">
        <v>2396513.012162982</v>
      </c>
      <c r="F62" s="228">
        <v>2340857.7603766993</v>
      </c>
      <c r="G62" s="228">
        <v>2256324.8970120829</v>
      </c>
      <c r="I62" s="66"/>
    </row>
    <row r="63" spans="1:9">
      <c r="A63" s="223" t="s">
        <v>106</v>
      </c>
      <c r="B63" s="31">
        <v>203901</v>
      </c>
      <c r="C63" s="31">
        <v>183586.63558849998</v>
      </c>
      <c r="D63" s="31">
        <v>198325.48800000001</v>
      </c>
      <c r="E63" s="31">
        <v>175432.4</v>
      </c>
      <c r="F63" s="31">
        <v>152476.20000000001</v>
      </c>
      <c r="G63" s="31">
        <v>177642.34735</v>
      </c>
      <c r="I63" s="66"/>
    </row>
    <row r="64" spans="1:9" ht="15.75">
      <c r="A64" s="33" t="s">
        <v>108</v>
      </c>
      <c r="B64" s="34">
        <f t="shared" ref="B64" si="4">SUM(B62:B63)</f>
        <v>2674309.8809999991</v>
      </c>
      <c r="C64" s="34">
        <v>2644350.0010688826</v>
      </c>
      <c r="D64" s="34">
        <v>2622518.1239492656</v>
      </c>
      <c r="E64" s="34">
        <v>2571945.4121629819</v>
      </c>
      <c r="F64" s="34">
        <v>2493333.9603766995</v>
      </c>
      <c r="G64" s="34">
        <v>2433967.2443620828</v>
      </c>
      <c r="I64" s="66"/>
    </row>
    <row r="65" spans="1:9" ht="15.75">
      <c r="A65" s="45"/>
      <c r="B65" s="46"/>
      <c r="C65" s="46"/>
      <c r="D65" s="46"/>
      <c r="E65" s="46"/>
      <c r="F65" s="46"/>
      <c r="G65" s="46"/>
      <c r="I65" s="66"/>
    </row>
    <row r="66" spans="1:9" ht="15.75">
      <c r="A66" s="33" t="s">
        <v>71</v>
      </c>
      <c r="B66" s="229">
        <f t="shared" ref="B66" si="5">B29+B41+B56+B64</f>
        <v>3845727.0330899991</v>
      </c>
      <c r="C66" s="229">
        <v>3720485.1713663163</v>
      </c>
      <c r="D66" s="229">
        <v>3703933.9683025302</v>
      </c>
      <c r="E66" s="229">
        <v>3655126.2875723219</v>
      </c>
      <c r="F66" s="229">
        <v>3598159.6404611594</v>
      </c>
      <c r="G66" s="229">
        <v>3584558.2380635291</v>
      </c>
      <c r="I66" s="66"/>
    </row>
    <row r="67" spans="1:9" ht="15.75">
      <c r="A67" s="230"/>
      <c r="B67" s="231"/>
      <c r="C67" s="232"/>
      <c r="D67" s="232"/>
      <c r="E67" s="232"/>
      <c r="F67" s="232"/>
      <c r="G67" s="232"/>
      <c r="I67" s="66"/>
    </row>
    <row r="68" spans="1:9" ht="12.6" customHeight="1">
      <c r="A68" s="215" t="s">
        <v>112</v>
      </c>
      <c r="B68" s="28"/>
      <c r="C68" s="28"/>
      <c r="D68" s="28"/>
      <c r="E68" s="28"/>
      <c r="F68" s="28"/>
      <c r="G68" s="28"/>
      <c r="I68" s="66"/>
    </row>
    <row r="69" spans="1:9">
      <c r="A69" s="223" t="s">
        <v>74</v>
      </c>
      <c r="B69" s="31">
        <v>78089.129000000001</v>
      </c>
      <c r="C69" s="31">
        <v>78089.129000000015</v>
      </c>
      <c r="D69" s="31">
        <v>78089.129000000015</v>
      </c>
      <c r="E69" s="31">
        <v>78089.129000000015</v>
      </c>
      <c r="F69" s="31">
        <v>78089.129000000015</v>
      </c>
      <c r="G69" s="31">
        <v>78089.129000000015</v>
      </c>
      <c r="I69" s="66"/>
    </row>
    <row r="70" spans="1:9">
      <c r="A70" s="223" t="s">
        <v>115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I70" s="66"/>
    </row>
    <row r="71" spans="1:9">
      <c r="A71" s="223" t="s">
        <v>116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I71" s="66"/>
    </row>
    <row r="72" spans="1:9">
      <c r="A72" s="68" t="s">
        <v>76</v>
      </c>
      <c r="B72" s="31">
        <v>77246.481</v>
      </c>
      <c r="C72" s="31">
        <v>77246.481332499927</v>
      </c>
      <c r="D72" s="31">
        <v>71456.875724999918</v>
      </c>
      <c r="E72" s="31">
        <v>65700.064677499919</v>
      </c>
      <c r="F72" s="31">
        <v>59977.541289999914</v>
      </c>
      <c r="G72" s="31">
        <v>54278.190202499922</v>
      </c>
      <c r="I72" s="66"/>
    </row>
    <row r="73" spans="1:9">
      <c r="A73" s="223" t="s">
        <v>118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I73" s="66"/>
    </row>
    <row r="74" spans="1:9">
      <c r="A74" s="223" t="s">
        <v>120</v>
      </c>
      <c r="B74" s="31">
        <v>130218.743</v>
      </c>
      <c r="C74" s="31">
        <v>130218.743</v>
      </c>
      <c r="D74" s="31">
        <v>130218.743</v>
      </c>
      <c r="E74" s="31">
        <v>130218.743</v>
      </c>
      <c r="F74" s="31">
        <v>130218.743</v>
      </c>
      <c r="G74" s="31">
        <v>130218.743</v>
      </c>
      <c r="I74" s="66"/>
    </row>
    <row r="75" spans="1:9">
      <c r="A75" s="223" t="s">
        <v>235</v>
      </c>
      <c r="B75" s="31">
        <v>32282.008000000002</v>
      </c>
      <c r="C75" s="31">
        <v>26426</v>
      </c>
      <c r="D75" s="31">
        <v>23783.4</v>
      </c>
      <c r="E75" s="31">
        <v>21140.800000000003</v>
      </c>
      <c r="F75" s="31">
        <v>18498.200000000004</v>
      </c>
      <c r="G75" s="31">
        <v>15855.600000000004</v>
      </c>
      <c r="I75" s="66"/>
    </row>
    <row r="76" spans="1:9">
      <c r="A76" s="223" t="s">
        <v>78</v>
      </c>
      <c r="B76" s="31">
        <v>5550.6930000000002</v>
      </c>
      <c r="C76" s="31">
        <v>5550.6930000000002</v>
      </c>
      <c r="D76" s="31">
        <v>5550.6930000000002</v>
      </c>
      <c r="E76" s="31">
        <v>5550.6930000000002</v>
      </c>
      <c r="F76" s="31">
        <v>5550.6930000000002</v>
      </c>
      <c r="G76" s="31">
        <v>5550.6930000000002</v>
      </c>
      <c r="I76" s="66"/>
    </row>
    <row r="77" spans="1:9" ht="15.75">
      <c r="A77" s="33" t="s">
        <v>80</v>
      </c>
      <c r="B77" s="229">
        <f>SUM(B69:B76)</f>
        <v>323387.05400000006</v>
      </c>
      <c r="C77" s="229">
        <v>317531.0463325</v>
      </c>
      <c r="D77" s="229">
        <v>309098.84072500002</v>
      </c>
      <c r="E77" s="229">
        <v>300699.42967749998</v>
      </c>
      <c r="F77" s="229">
        <v>292334.30628999998</v>
      </c>
      <c r="G77" s="229">
        <v>283992.35520249995</v>
      </c>
      <c r="I77" s="66"/>
    </row>
    <row r="78" spans="1:9" ht="15.75">
      <c r="A78" s="45"/>
      <c r="B78" s="233"/>
      <c r="C78" s="233"/>
      <c r="D78" s="233"/>
      <c r="E78" s="233"/>
      <c r="F78" s="233"/>
      <c r="G78" s="233"/>
      <c r="I78" s="66"/>
    </row>
    <row r="79" spans="1:9" ht="15.75">
      <c r="A79" s="33" t="s">
        <v>82</v>
      </c>
      <c r="B79" s="229">
        <f t="shared" ref="B79" si="6">B66+B77</f>
        <v>4169114.0870899991</v>
      </c>
      <c r="C79" s="229">
        <v>4038016.2176988162</v>
      </c>
      <c r="D79" s="229">
        <v>4013032.8090275303</v>
      </c>
      <c r="E79" s="229">
        <v>3955825.7172498219</v>
      </c>
      <c r="F79" s="229">
        <v>3890493.9467511596</v>
      </c>
      <c r="G79" s="229">
        <v>3868550.5932660289</v>
      </c>
      <c r="I79" s="66"/>
    </row>
    <row r="80" spans="1:9" ht="15.75">
      <c r="A80" s="234"/>
      <c r="B80" s="235"/>
      <c r="C80" s="67"/>
      <c r="D80" s="67"/>
      <c r="E80" s="67"/>
      <c r="F80" s="67"/>
      <c r="G80" s="67"/>
      <c r="I80" s="66"/>
    </row>
    <row r="81" spans="1:9">
      <c r="A81" s="64"/>
      <c r="C81" s="37"/>
      <c r="D81" s="37"/>
      <c r="E81" s="37"/>
      <c r="F81" s="37"/>
      <c r="G81" s="37"/>
      <c r="I81" s="66"/>
    </row>
    <row r="82" spans="1:9" ht="15.75">
      <c r="A82" s="64"/>
      <c r="B82" s="235"/>
      <c r="C82" s="37"/>
      <c r="D82" s="37"/>
      <c r="E82" s="37"/>
      <c r="F82" s="37"/>
      <c r="G82" s="37"/>
      <c r="I82" s="66"/>
    </row>
    <row r="83" spans="1:9" ht="18">
      <c r="A83" s="4" t="s">
        <v>0</v>
      </c>
      <c r="B83" s="235"/>
      <c r="C83" s="63"/>
      <c r="D83" s="63"/>
      <c r="E83" s="63"/>
      <c r="G83" s="20" t="s">
        <v>150</v>
      </c>
      <c r="I83" s="66"/>
    </row>
    <row r="84" spans="1:9" ht="18">
      <c r="A84" s="3" t="s">
        <v>1</v>
      </c>
      <c r="B84" s="235"/>
      <c r="C84" s="63"/>
      <c r="D84" s="63"/>
      <c r="E84" s="63"/>
      <c r="F84" s="20" t="s">
        <v>151</v>
      </c>
      <c r="G84" s="22">
        <f ca="1">TODAY()</f>
        <v>43761</v>
      </c>
      <c r="I84" s="66"/>
    </row>
    <row r="85" spans="1:9" ht="18">
      <c r="A85" s="4" t="s">
        <v>124</v>
      </c>
      <c r="B85" s="235"/>
      <c r="C85" s="235"/>
      <c r="D85" s="235"/>
      <c r="E85" s="235"/>
      <c r="F85" s="235"/>
      <c r="G85" s="235"/>
      <c r="I85" s="66"/>
    </row>
    <row r="86" spans="1:9" ht="18">
      <c r="A86" s="1" t="s">
        <v>3</v>
      </c>
      <c r="B86" s="202" t="s">
        <v>125</v>
      </c>
      <c r="C86" s="24" t="s">
        <v>4</v>
      </c>
      <c r="D86" s="24" t="s">
        <v>4</v>
      </c>
      <c r="E86" s="24" t="s">
        <v>4</v>
      </c>
      <c r="F86" s="24" t="s">
        <v>4</v>
      </c>
      <c r="G86" s="24" t="s">
        <v>4</v>
      </c>
      <c r="I86" s="66"/>
    </row>
    <row r="87" spans="1:9" ht="15.75">
      <c r="A87" s="236" t="str">
        <f>A6</f>
        <v>JEA-FITCH-O&amp;M INITIATIVES-OCT19</v>
      </c>
      <c r="B87" s="25">
        <f>B6</f>
        <v>2019</v>
      </c>
      <c r="C87" s="26">
        <f t="shared" ref="C87:G87" si="7">B87+1</f>
        <v>2020</v>
      </c>
      <c r="D87" s="26">
        <f t="shared" si="7"/>
        <v>2021</v>
      </c>
      <c r="E87" s="26">
        <f t="shared" si="7"/>
        <v>2022</v>
      </c>
      <c r="F87" s="26">
        <f t="shared" si="7"/>
        <v>2023</v>
      </c>
      <c r="G87" s="26">
        <f t="shared" si="7"/>
        <v>2024</v>
      </c>
      <c r="I87" s="66"/>
    </row>
    <row r="88" spans="1:9" ht="15.75">
      <c r="A88" s="237" t="s">
        <v>126</v>
      </c>
      <c r="B88" s="238"/>
      <c r="C88" s="203">
        <f t="shared" ref="C88:G88" si="8">C6</f>
        <v>2020</v>
      </c>
      <c r="D88" s="203">
        <f t="shared" si="8"/>
        <v>2021</v>
      </c>
      <c r="E88" s="203">
        <f t="shared" si="8"/>
        <v>2022</v>
      </c>
      <c r="F88" s="203">
        <f t="shared" si="8"/>
        <v>2023</v>
      </c>
      <c r="G88" s="203">
        <f t="shared" si="8"/>
        <v>2024</v>
      </c>
      <c r="I88" s="66"/>
    </row>
    <row r="89" spans="1:9" ht="15.75">
      <c r="A89" s="38" t="s">
        <v>127</v>
      </c>
      <c r="B89" s="28"/>
      <c r="C89" s="28"/>
      <c r="D89" s="28"/>
      <c r="E89" s="28"/>
      <c r="F89" s="28"/>
      <c r="G89" s="28"/>
      <c r="I89" s="66"/>
    </row>
    <row r="90" spans="1:9">
      <c r="A90" s="68" t="s">
        <v>85</v>
      </c>
      <c r="B90" s="31">
        <v>42875.046999999999</v>
      </c>
      <c r="C90" s="31">
        <v>41578.965248268141</v>
      </c>
      <c r="D90" s="31">
        <v>40222.53202492815</v>
      </c>
      <c r="E90" s="31">
        <v>42802.853563711113</v>
      </c>
      <c r="F90" s="31">
        <v>45254.087350015521</v>
      </c>
      <c r="G90" s="31">
        <v>46529.465875288573</v>
      </c>
      <c r="H90" s="66"/>
      <c r="I90" s="66"/>
    </row>
    <row r="91" spans="1:9">
      <c r="A91" s="68" t="s">
        <v>236</v>
      </c>
      <c r="B91" s="31">
        <v>56713.964999999997</v>
      </c>
      <c r="C91" s="31">
        <v>56937.89</v>
      </c>
      <c r="D91" s="31">
        <v>57162.934625000002</v>
      </c>
      <c r="E91" s="31">
        <v>57389.104473125</v>
      </c>
      <c r="F91" s="31">
        <v>57616.405170490623</v>
      </c>
      <c r="G91" s="31">
        <v>57844.842371343075</v>
      </c>
      <c r="H91" s="62"/>
      <c r="I91" s="66"/>
    </row>
    <row r="92" spans="1:9">
      <c r="A92" s="68" t="s">
        <v>237</v>
      </c>
      <c r="B92" s="31">
        <v>22405.599999999999</v>
      </c>
      <c r="C92" s="31">
        <v>21767.659192992101</v>
      </c>
      <c r="D92" s="31">
        <v>21086.92539527261</v>
      </c>
      <c r="E92" s="31">
        <v>21514.059392663657</v>
      </c>
      <c r="F92" s="31">
        <v>22100.656749080707</v>
      </c>
      <c r="G92" s="31">
        <v>22863.233312422875</v>
      </c>
      <c r="H92" s="62"/>
      <c r="I92" s="66"/>
    </row>
    <row r="93" spans="1:9">
      <c r="A93" s="68" t="s">
        <v>238</v>
      </c>
      <c r="B93" s="31">
        <v>837.04899999999998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62"/>
      <c r="I93" s="66"/>
    </row>
    <row r="94" spans="1:9">
      <c r="A94" s="68" t="s">
        <v>239</v>
      </c>
      <c r="B94" s="31">
        <f>12235.533</f>
        <v>12235.532999999999</v>
      </c>
      <c r="C94" s="31">
        <v>14068.744694361687</v>
      </c>
      <c r="D94" s="31">
        <v>14484.668155449644</v>
      </c>
      <c r="E94" s="31">
        <v>14912.946542775386</v>
      </c>
      <c r="F94" s="31">
        <v>15353.948048574141</v>
      </c>
      <c r="G94" s="31">
        <v>15808.051861737171</v>
      </c>
      <c r="H94" s="62"/>
      <c r="I94" s="66"/>
    </row>
    <row r="95" spans="1:9">
      <c r="A95" s="68" t="s">
        <v>240</v>
      </c>
      <c r="B95" s="31">
        <v>8186.308</v>
      </c>
      <c r="C95" s="31">
        <v>7822.1395220457753</v>
      </c>
      <c r="D95" s="31">
        <v>7807.7906608359181</v>
      </c>
      <c r="E95" s="31">
        <v>7860.0129804053058</v>
      </c>
      <c r="F95" s="31">
        <v>7912.2817886757757</v>
      </c>
      <c r="G95" s="31">
        <v>7964.5908580082187</v>
      </c>
      <c r="H95" s="62"/>
      <c r="I95" s="66"/>
    </row>
    <row r="96" spans="1:9" ht="15.75">
      <c r="A96" s="239" t="s">
        <v>88</v>
      </c>
      <c r="B96" s="34">
        <f t="shared" ref="B96" si="9">SUM(B90:B95)</f>
        <v>143253.50199999998</v>
      </c>
      <c r="C96" s="34">
        <v>142175.39865766768</v>
      </c>
      <c r="D96" s="34">
        <v>140764.85086148634</v>
      </c>
      <c r="E96" s="34">
        <v>144478.97695268044</v>
      </c>
      <c r="F96" s="34">
        <v>148237.37910683677</v>
      </c>
      <c r="G96" s="34">
        <v>151010.18427879989</v>
      </c>
      <c r="H96" s="62"/>
      <c r="I96" s="66"/>
    </row>
    <row r="97" spans="1:9">
      <c r="A97" s="240"/>
      <c r="B97" s="221"/>
      <c r="C97" s="214"/>
      <c r="D97" s="214"/>
      <c r="E97" s="214"/>
      <c r="F97" s="214"/>
      <c r="G97" s="214"/>
      <c r="H97" s="62"/>
      <c r="I97" s="66"/>
    </row>
    <row r="98" spans="1:9" ht="15.75">
      <c r="A98" s="241" t="s">
        <v>128</v>
      </c>
      <c r="B98" s="28"/>
      <c r="C98" s="28"/>
      <c r="D98" s="28"/>
      <c r="E98" s="28"/>
      <c r="F98" s="28"/>
      <c r="G98" s="28"/>
      <c r="I98" s="66"/>
    </row>
    <row r="99" spans="1:9">
      <c r="A99" s="68" t="s">
        <v>129</v>
      </c>
      <c r="B99" s="31">
        <v>122380</v>
      </c>
      <c r="C99" s="31">
        <v>67765</v>
      </c>
      <c r="D99" s="31">
        <v>66220</v>
      </c>
      <c r="E99" s="31">
        <v>51980</v>
      </c>
      <c r="F99" s="31">
        <v>24265</v>
      </c>
      <c r="G99" s="31">
        <v>34695</v>
      </c>
      <c r="H99" s="62"/>
      <c r="I99" s="66"/>
    </row>
    <row r="100" spans="1:9">
      <c r="A100" s="223" t="s">
        <v>91</v>
      </c>
      <c r="B100" s="31">
        <v>32109.097000000002</v>
      </c>
      <c r="C100" s="31">
        <v>28252.661206249992</v>
      </c>
      <c r="D100" s="31">
        <v>30529.944262499994</v>
      </c>
      <c r="E100" s="31">
        <v>33910.834143749991</v>
      </c>
      <c r="F100" s="31">
        <v>32751.004124999999</v>
      </c>
      <c r="G100" s="31">
        <v>32290.411943749994</v>
      </c>
      <c r="H100" s="62"/>
      <c r="I100" s="66"/>
    </row>
    <row r="101" spans="1:9">
      <c r="A101" s="223" t="s">
        <v>93</v>
      </c>
      <c r="B101" s="31">
        <v>24589</v>
      </c>
      <c r="C101" s="31">
        <v>24500</v>
      </c>
      <c r="D101" s="31">
        <v>24000</v>
      </c>
      <c r="E101" s="31">
        <v>20000</v>
      </c>
      <c r="F101" s="31">
        <v>15000</v>
      </c>
      <c r="G101" s="31">
        <v>14000</v>
      </c>
      <c r="H101" s="62"/>
      <c r="I101" s="66"/>
    </row>
    <row r="102" spans="1:9">
      <c r="A102" s="223" t="s">
        <v>130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62"/>
      <c r="I102" s="66"/>
    </row>
    <row r="103" spans="1:9" ht="15.75">
      <c r="A103" s="242" t="s">
        <v>131</v>
      </c>
      <c r="B103" s="34">
        <f t="shared" ref="B103" si="10">SUM(B99:B102)</f>
        <v>179078.09700000001</v>
      </c>
      <c r="C103" s="34">
        <v>120517.66120624999</v>
      </c>
      <c r="D103" s="34">
        <v>120749.94426249999</v>
      </c>
      <c r="E103" s="34">
        <v>105890.83414374999</v>
      </c>
      <c r="F103" s="34">
        <v>72016.004125000007</v>
      </c>
      <c r="G103" s="34">
        <v>80985.41194374999</v>
      </c>
      <c r="H103" s="62"/>
      <c r="I103" s="66"/>
    </row>
    <row r="104" spans="1:9">
      <c r="A104" s="243"/>
      <c r="B104" s="221"/>
      <c r="C104" s="214"/>
      <c r="D104" s="214"/>
      <c r="E104" s="214"/>
      <c r="F104" s="214"/>
      <c r="G104" s="214"/>
      <c r="H104" s="62"/>
      <c r="I104" s="66"/>
    </row>
    <row r="105" spans="1:9" ht="15.75">
      <c r="A105" s="241" t="s">
        <v>132</v>
      </c>
      <c r="B105" s="28"/>
      <c r="C105" s="28"/>
      <c r="D105" s="28"/>
      <c r="E105" s="28"/>
      <c r="F105" s="28"/>
      <c r="G105" s="28"/>
      <c r="H105" s="62"/>
      <c r="I105" s="66"/>
    </row>
    <row r="106" spans="1:9">
      <c r="A106" s="68" t="s">
        <v>133</v>
      </c>
      <c r="B106" s="31">
        <v>11135.721</v>
      </c>
      <c r="C106" s="31">
        <v>11135.721</v>
      </c>
      <c r="D106" s="31">
        <v>11135.721</v>
      </c>
      <c r="E106" s="31">
        <v>11135.721</v>
      </c>
      <c r="F106" s="31">
        <v>11135.721</v>
      </c>
      <c r="G106" s="31">
        <v>11135.721</v>
      </c>
      <c r="H106" s="62"/>
      <c r="I106" s="66"/>
    </row>
    <row r="107" spans="1:9">
      <c r="A107" s="68" t="s">
        <v>134</v>
      </c>
      <c r="B107" s="31">
        <v>0</v>
      </c>
      <c r="C107" s="30">
        <v>0</v>
      </c>
      <c r="D107" s="31">
        <v>0</v>
      </c>
      <c r="E107" s="31">
        <v>0</v>
      </c>
      <c r="F107" s="31">
        <v>0</v>
      </c>
      <c r="G107" s="31">
        <v>0</v>
      </c>
      <c r="H107" s="62"/>
      <c r="I107" s="66"/>
    </row>
    <row r="108" spans="1:9">
      <c r="A108" s="68" t="s">
        <v>241</v>
      </c>
      <c r="B108" s="31">
        <v>31444.959999999999</v>
      </c>
      <c r="C108" s="31">
        <v>26426</v>
      </c>
      <c r="D108" s="31">
        <v>23783.4</v>
      </c>
      <c r="E108" s="31">
        <v>21140.800000000003</v>
      </c>
      <c r="F108" s="31">
        <v>18498.200000000004</v>
      </c>
      <c r="G108" s="31">
        <v>15855.600000000004</v>
      </c>
      <c r="H108" s="62"/>
      <c r="I108" s="66"/>
    </row>
    <row r="109" spans="1:9">
      <c r="A109" s="68" t="s">
        <v>135</v>
      </c>
      <c r="B109" s="31">
        <v>16567.59952</v>
      </c>
      <c r="C109" s="31">
        <v>15067.59952</v>
      </c>
      <c r="D109" s="31">
        <v>14567.59952</v>
      </c>
      <c r="E109" s="31">
        <v>9567.5995199999998</v>
      </c>
      <c r="F109" s="31">
        <v>5567.5995199999998</v>
      </c>
      <c r="G109" s="31">
        <v>2567.5995199999998</v>
      </c>
      <c r="H109" s="62"/>
      <c r="I109" s="66"/>
    </row>
    <row r="110" spans="1:9">
      <c r="A110" s="68" t="s">
        <v>136</v>
      </c>
      <c r="B110" s="31">
        <v>0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62"/>
      <c r="I110" s="66"/>
    </row>
    <row r="111" spans="1:9">
      <c r="A111" s="68" t="s">
        <v>111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62"/>
      <c r="I111" s="66"/>
    </row>
    <row r="112" spans="1:9">
      <c r="A112" s="223" t="s">
        <v>98</v>
      </c>
      <c r="B112" s="30">
        <f>51373.753-B109</f>
        <v>34806.153479999994</v>
      </c>
      <c r="C112" s="30">
        <v>34806.153479999994</v>
      </c>
      <c r="D112" s="30">
        <v>34806.153479999994</v>
      </c>
      <c r="E112" s="30">
        <v>34806.153479999994</v>
      </c>
      <c r="F112" s="30">
        <v>34806.153479999994</v>
      </c>
      <c r="G112" s="30">
        <v>34806.153479999994</v>
      </c>
      <c r="H112" s="62"/>
      <c r="I112" s="66"/>
    </row>
    <row r="113" spans="1:11">
      <c r="A113" s="223" t="s">
        <v>137</v>
      </c>
      <c r="B113" s="30">
        <v>343046.21399999998</v>
      </c>
      <c r="C113" s="30">
        <v>343046.21399999998</v>
      </c>
      <c r="D113" s="30">
        <v>343046.21399999998</v>
      </c>
      <c r="E113" s="30">
        <v>343046.21399999998</v>
      </c>
      <c r="F113" s="30">
        <v>343046.21399999998</v>
      </c>
      <c r="G113" s="30">
        <v>343046.21399999998</v>
      </c>
      <c r="H113" s="62"/>
      <c r="I113" s="66"/>
    </row>
    <row r="114" spans="1:11" ht="15.75">
      <c r="A114" s="244" t="s">
        <v>138</v>
      </c>
      <c r="B114" s="34">
        <f t="shared" ref="B114" si="11">SUM(B106:B113)</f>
        <v>437000.64799999999</v>
      </c>
      <c r="C114" s="34">
        <v>430481.68799999997</v>
      </c>
      <c r="D114" s="34">
        <v>427339.08799999999</v>
      </c>
      <c r="E114" s="34">
        <v>419696.48799999995</v>
      </c>
      <c r="F114" s="34">
        <v>413053.88799999998</v>
      </c>
      <c r="G114" s="34">
        <v>407411.28799999994</v>
      </c>
      <c r="H114" s="62"/>
      <c r="I114" s="66"/>
    </row>
    <row r="115" spans="1:11">
      <c r="A115" s="240"/>
      <c r="B115" s="221"/>
      <c r="C115" s="214"/>
      <c r="D115" s="214"/>
      <c r="E115" s="214">
        <v>0</v>
      </c>
      <c r="F115" s="214"/>
      <c r="G115" s="214"/>
      <c r="H115" s="62"/>
      <c r="I115" s="66"/>
    </row>
    <row r="116" spans="1:11" ht="15.75">
      <c r="A116" s="241" t="s">
        <v>139</v>
      </c>
      <c r="B116" s="28"/>
      <c r="C116" s="28"/>
      <c r="D116" s="28"/>
      <c r="E116" s="28"/>
      <c r="F116" s="28"/>
      <c r="G116" s="28"/>
      <c r="H116" s="62"/>
      <c r="I116" s="66"/>
    </row>
    <row r="117" spans="1:11">
      <c r="A117" s="68" t="s">
        <v>102</v>
      </c>
      <c r="B117" s="31">
        <v>1796880</v>
      </c>
      <c r="C117" s="31">
        <v>1681045</v>
      </c>
      <c r="D117" s="31">
        <v>1614825</v>
      </c>
      <c r="E117" s="31">
        <v>1562845</v>
      </c>
      <c r="F117" s="31">
        <v>1538580</v>
      </c>
      <c r="G117" s="31">
        <v>1503885</v>
      </c>
      <c r="H117" s="62"/>
      <c r="I117" s="66"/>
      <c r="J117" s="66"/>
    </row>
    <row r="118" spans="1:11">
      <c r="A118" s="68" t="s">
        <v>140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62"/>
      <c r="I118" s="66"/>
      <c r="J118" s="66"/>
    </row>
    <row r="119" spans="1:11">
      <c r="A119" s="68" t="s">
        <v>141</v>
      </c>
      <c r="B119" s="31">
        <v>56774.731</v>
      </c>
      <c r="C119" s="31">
        <v>48085.017442220218</v>
      </c>
      <c r="D119" s="31">
        <v>40840.994872195828</v>
      </c>
      <c r="E119" s="31">
        <v>34714.036949876485</v>
      </c>
      <c r="F119" s="31">
        <v>29519.405853193701</v>
      </c>
      <c r="G119" s="31">
        <v>24316.980740744497</v>
      </c>
      <c r="H119" s="62"/>
      <c r="I119" s="66"/>
      <c r="K119" s="245"/>
    </row>
    <row r="120" spans="1:11">
      <c r="A120" s="68" t="s">
        <v>76</v>
      </c>
      <c r="B120" s="31">
        <v>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62"/>
      <c r="I120" s="66"/>
      <c r="K120" s="245"/>
    </row>
    <row r="121" spans="1:11">
      <c r="A121" s="246" t="s">
        <v>142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62"/>
      <c r="I121" s="66"/>
    </row>
    <row r="122" spans="1:11">
      <c r="A122" s="226" t="s">
        <v>105</v>
      </c>
      <c r="B122" s="31">
        <v>118621.45299999999</v>
      </c>
      <c r="C122" s="31">
        <v>118621.45299999999</v>
      </c>
      <c r="D122" s="31">
        <v>118621.45299999999</v>
      </c>
      <c r="E122" s="31">
        <v>118621.45299999999</v>
      </c>
      <c r="F122" s="31">
        <v>118621.45299999999</v>
      </c>
      <c r="G122" s="31">
        <v>118621.45299999999</v>
      </c>
      <c r="H122" s="62"/>
      <c r="I122" s="66"/>
    </row>
    <row r="123" spans="1:11" ht="15.75">
      <c r="A123" s="247" t="s">
        <v>107</v>
      </c>
      <c r="B123" s="248">
        <f t="shared" ref="B123" si="12">SUM(B117:B122)</f>
        <v>1972276.1839999999</v>
      </c>
      <c r="C123" s="248">
        <v>1847751.4704422201</v>
      </c>
      <c r="D123" s="248">
        <v>1774287.4478721959</v>
      </c>
      <c r="E123" s="248">
        <v>1716180.4899498764</v>
      </c>
      <c r="F123" s="248">
        <v>1686720.8588531937</v>
      </c>
      <c r="G123" s="248">
        <v>1646823.4337407444</v>
      </c>
      <c r="H123" s="62"/>
      <c r="I123" s="66"/>
    </row>
    <row r="124" spans="1:11" ht="15.75">
      <c r="A124" s="249"/>
      <c r="B124" s="250"/>
      <c r="C124" s="250"/>
      <c r="D124" s="250"/>
      <c r="E124" s="250"/>
      <c r="F124" s="250"/>
      <c r="G124" s="250"/>
      <c r="H124" s="62"/>
      <c r="I124" s="66"/>
    </row>
    <row r="125" spans="1:11" ht="15.75">
      <c r="A125" s="251" t="s">
        <v>109</v>
      </c>
      <c r="B125" s="34">
        <f t="shared" ref="B125" si="13">B96+B103+B114+B123</f>
        <v>2731608.4309999999</v>
      </c>
      <c r="C125" s="34">
        <v>2540926.2183061377</v>
      </c>
      <c r="D125" s="34">
        <v>2463141.3309961823</v>
      </c>
      <c r="E125" s="34">
        <v>2386246.7890463071</v>
      </c>
      <c r="F125" s="34">
        <v>2320028.1300850306</v>
      </c>
      <c r="G125" s="34">
        <v>2286230.3179632942</v>
      </c>
      <c r="H125" s="62"/>
      <c r="I125" s="66"/>
    </row>
    <row r="126" spans="1:11">
      <c r="A126" s="243"/>
      <c r="B126" s="221"/>
      <c r="C126" s="214"/>
      <c r="D126" s="214"/>
      <c r="E126" s="214"/>
      <c r="F126" s="214"/>
      <c r="G126" s="214"/>
      <c r="H126" s="62"/>
      <c r="I126" s="66"/>
    </row>
    <row r="127" spans="1:11" ht="15.75">
      <c r="A127" s="38" t="s">
        <v>110</v>
      </c>
      <c r="B127" s="28"/>
      <c r="C127" s="28"/>
      <c r="D127" s="28"/>
      <c r="E127" s="28"/>
      <c r="F127" s="28"/>
      <c r="G127" s="28"/>
      <c r="H127" s="62"/>
      <c r="I127" s="66"/>
    </row>
    <row r="128" spans="1:11" hidden="1" outlineLevel="1">
      <c r="A128" s="205" t="s">
        <v>143</v>
      </c>
      <c r="B128" s="31">
        <v>163901.36156999998</v>
      </c>
      <c r="C128" s="31">
        <v>144921.83488445237</v>
      </c>
      <c r="D128" s="31">
        <v>113704.64936633871</v>
      </c>
      <c r="E128" s="31">
        <v>123258.17747303534</v>
      </c>
      <c r="F128" s="31">
        <v>135672.76786208554</v>
      </c>
      <c r="G128" s="31">
        <v>144846.7201899701</v>
      </c>
      <c r="H128" s="62"/>
      <c r="I128" s="66"/>
    </row>
    <row r="129" spans="1:9" hidden="1" outlineLevel="1">
      <c r="A129" s="205" t="s">
        <v>144</v>
      </c>
      <c r="B129" s="31">
        <v>11210.44</v>
      </c>
      <c r="C129" s="31">
        <v>9214</v>
      </c>
      <c r="D129" s="31">
        <v>9214</v>
      </c>
      <c r="E129" s="31">
        <v>9214</v>
      </c>
      <c r="F129" s="31">
        <v>9214</v>
      </c>
      <c r="G129" s="31">
        <v>9214</v>
      </c>
      <c r="H129" s="62"/>
      <c r="I129" s="66"/>
    </row>
    <row r="130" spans="1:9" hidden="1" outlineLevel="1">
      <c r="A130" s="205" t="s">
        <v>145</v>
      </c>
      <c r="B130" s="31">
        <v>33681.974040000001</v>
      </c>
      <c r="C130" s="31">
        <v>33681.974040000001</v>
      </c>
      <c r="D130" s="31">
        <v>33681.974040000001</v>
      </c>
      <c r="E130" s="31">
        <v>33681.974040000001</v>
      </c>
      <c r="F130" s="31">
        <v>33681.974040000001</v>
      </c>
      <c r="G130" s="31">
        <v>33681.974040000001</v>
      </c>
      <c r="H130" s="62"/>
      <c r="I130" s="66"/>
    </row>
    <row r="131" spans="1:9" collapsed="1">
      <c r="A131" s="223" t="s">
        <v>111</v>
      </c>
      <c r="B131" s="31">
        <f>SUM(B128:B130)</f>
        <v>208793.77560999998</v>
      </c>
      <c r="C131" s="31">
        <v>187817.80892445237</v>
      </c>
      <c r="D131" s="31">
        <v>156600.62340633871</v>
      </c>
      <c r="E131" s="31">
        <v>166154.15151303535</v>
      </c>
      <c r="F131" s="31">
        <v>178568.74190208555</v>
      </c>
      <c r="G131" s="31">
        <v>187742.6942299701</v>
      </c>
      <c r="H131" s="62"/>
      <c r="I131" s="66"/>
    </row>
    <row r="132" spans="1:9">
      <c r="A132" s="223" t="s">
        <v>113</v>
      </c>
      <c r="B132" s="31">
        <v>27275.484</v>
      </c>
      <c r="C132" s="31">
        <v>27275.484</v>
      </c>
      <c r="D132" s="31">
        <v>27275.484</v>
      </c>
      <c r="E132" s="31">
        <v>27275.484</v>
      </c>
      <c r="F132" s="31">
        <v>27275.484</v>
      </c>
      <c r="G132" s="31">
        <v>27275.484</v>
      </c>
      <c r="H132" s="62"/>
      <c r="I132" s="66"/>
    </row>
    <row r="133" spans="1:9">
      <c r="A133" s="68" t="s">
        <v>146</v>
      </c>
      <c r="B133" s="30">
        <v>0</v>
      </c>
      <c r="C133" s="30">
        <v>0</v>
      </c>
      <c r="D133" s="30">
        <v>0</v>
      </c>
      <c r="E133" s="30">
        <v>0</v>
      </c>
      <c r="F133" s="30">
        <v>0</v>
      </c>
      <c r="G133" s="30">
        <v>0</v>
      </c>
      <c r="H133" s="62"/>
      <c r="I133" s="66"/>
    </row>
    <row r="134" spans="1:9">
      <c r="A134" s="68" t="s">
        <v>147</v>
      </c>
      <c r="B134" s="30">
        <v>0</v>
      </c>
      <c r="C134" s="30">
        <v>0</v>
      </c>
      <c r="D134" s="30">
        <v>0</v>
      </c>
      <c r="E134" s="30">
        <v>0</v>
      </c>
      <c r="F134" s="30">
        <v>0</v>
      </c>
      <c r="G134" s="30">
        <v>0</v>
      </c>
      <c r="H134" s="62"/>
      <c r="I134" s="66"/>
    </row>
    <row r="135" spans="1:9">
      <c r="A135" s="68" t="s">
        <v>114</v>
      </c>
      <c r="B135" s="30">
        <v>6861.6390000000001</v>
      </c>
      <c r="C135" s="30">
        <v>6861.6390000000001</v>
      </c>
      <c r="D135" s="30">
        <v>6861.6390000000001</v>
      </c>
      <c r="E135" s="30">
        <v>6861.6390000000001</v>
      </c>
      <c r="F135" s="30">
        <v>6861.6390000000001</v>
      </c>
      <c r="G135" s="30">
        <v>6861.6390000000001</v>
      </c>
      <c r="H135" s="62"/>
      <c r="I135" s="66"/>
    </row>
    <row r="136" spans="1:9" ht="15.75">
      <c r="A136" s="239" t="s">
        <v>117</v>
      </c>
      <c r="B136" s="34">
        <f>SUM(B131:B135)</f>
        <v>242930.89860999997</v>
      </c>
      <c r="C136" s="34">
        <v>221954.93192445236</v>
      </c>
      <c r="D136" s="34">
        <v>190737.7464063387</v>
      </c>
      <c r="E136" s="34">
        <v>200291.27451303534</v>
      </c>
      <c r="F136" s="34">
        <v>212705.86490208554</v>
      </c>
      <c r="G136" s="34">
        <v>221879.8172299701</v>
      </c>
      <c r="H136" s="62"/>
      <c r="I136" s="66"/>
    </row>
    <row r="137" spans="1:9">
      <c r="A137" s="252"/>
      <c r="B137" s="57"/>
      <c r="C137" s="57"/>
      <c r="D137" s="57"/>
      <c r="E137" s="57"/>
      <c r="F137" s="57"/>
      <c r="G137" s="57"/>
      <c r="H137" s="62"/>
      <c r="I137" s="66"/>
    </row>
    <row r="138" spans="1:9" ht="15.75">
      <c r="A138" s="38" t="s">
        <v>119</v>
      </c>
      <c r="B138" s="28"/>
      <c r="C138" s="28"/>
      <c r="D138" s="28"/>
      <c r="E138" s="28"/>
      <c r="F138" s="28"/>
      <c r="G138" s="28"/>
      <c r="H138" s="62"/>
      <c r="I138" s="66"/>
    </row>
    <row r="139" spans="1:9" hidden="1" outlineLevel="1">
      <c r="A139" s="68" t="s">
        <v>121</v>
      </c>
      <c r="B139" s="31">
        <f>B34+B46+B47+B48+B50+B51+B59+B60+B61+B63+B72-B99-B101-B117-B119-B121-B130</f>
        <v>823859.81095999933</v>
      </c>
      <c r="C139" s="31">
        <v>954692.69976916246</v>
      </c>
      <c r="D139" s="31">
        <v>1001149.3003620696</v>
      </c>
      <c r="E139" s="31">
        <v>1019779.9147006054</v>
      </c>
      <c r="F139" s="31">
        <v>996098.33937350591</v>
      </c>
      <c r="G139" s="31">
        <v>960881.62988383824</v>
      </c>
      <c r="H139" s="62"/>
      <c r="I139" s="66"/>
    </row>
    <row r="140" spans="1:9" hidden="1" outlineLevel="1">
      <c r="A140" s="223" t="s">
        <v>148</v>
      </c>
      <c r="B140" s="31">
        <f>B41-B34-B100</f>
        <v>207893.62500000003</v>
      </c>
      <c r="C140" s="31">
        <v>175121.48194526212</v>
      </c>
      <c r="D140" s="31">
        <v>215945.02999703598</v>
      </c>
      <c r="E140" s="31">
        <v>207630.34452971854</v>
      </c>
      <c r="F140" s="31">
        <v>218371.18630168273</v>
      </c>
      <c r="G140" s="31">
        <v>252543.55970136914</v>
      </c>
      <c r="H140" s="62"/>
      <c r="I140" s="66"/>
    </row>
    <row r="141" spans="1:9" hidden="1" outlineLevel="1">
      <c r="A141" s="68" t="s">
        <v>122</v>
      </c>
      <c r="B141" s="253">
        <f>B19+B21+B22+B23+B25+B26+B28+B45+B49+B53+B55+B69+B73+B74+B75+B76-B90-B91-B92-B93-B94-B95-B106-B107-B108-B109-B112-B113-B122-B128-B129-B132-B134-B135</f>
        <v>162821.32152</v>
      </c>
      <c r="C141" s="253">
        <v>145320.88575380133</v>
      </c>
      <c r="D141" s="253">
        <v>142059.40126590384</v>
      </c>
      <c r="E141" s="253">
        <v>141877.39446015554</v>
      </c>
      <c r="F141" s="253">
        <v>143290.42608885505</v>
      </c>
      <c r="G141" s="253">
        <v>147015.26848755739</v>
      </c>
      <c r="H141" s="62"/>
      <c r="I141" s="66"/>
    </row>
    <row r="142" spans="1:9" ht="15.75" collapsed="1">
      <c r="A142" s="217" t="s">
        <v>123</v>
      </c>
      <c r="B142" s="248">
        <f t="shared" ref="B142" si="14">SUM(B139:B141)</f>
        <v>1194574.7574799992</v>
      </c>
      <c r="C142" s="248">
        <v>1275135.067468226</v>
      </c>
      <c r="D142" s="248">
        <v>1359153.7316250093</v>
      </c>
      <c r="E142" s="248">
        <v>1369287.6536904797</v>
      </c>
      <c r="F142" s="248">
        <v>1357759.9517640439</v>
      </c>
      <c r="G142" s="248">
        <v>1360440.4580727648</v>
      </c>
      <c r="H142" s="62"/>
      <c r="I142" s="66"/>
    </row>
    <row r="143" spans="1:9" ht="15.75">
      <c r="A143" s="254"/>
      <c r="B143" s="250"/>
      <c r="C143" s="250"/>
      <c r="D143" s="250"/>
      <c r="E143" s="250"/>
      <c r="F143" s="250"/>
      <c r="G143" s="250"/>
      <c r="H143" s="62"/>
      <c r="I143" s="66"/>
    </row>
    <row r="144" spans="1:9" ht="15.75">
      <c r="A144" s="33" t="s">
        <v>149</v>
      </c>
      <c r="B144" s="229">
        <f t="shared" ref="B144" si="15">B125+B136+B142</f>
        <v>4169114.0870899991</v>
      </c>
      <c r="C144" s="229">
        <v>4038016.2176988162</v>
      </c>
      <c r="D144" s="229">
        <v>4013032.8090275303</v>
      </c>
      <c r="E144" s="229">
        <v>3955825.7172498223</v>
      </c>
      <c r="F144" s="229">
        <v>3890493.9467511601</v>
      </c>
      <c r="G144" s="229">
        <v>3868550.5932660289</v>
      </c>
      <c r="H144" s="62"/>
      <c r="I144" s="66"/>
    </row>
    <row r="145" spans="1:1">
      <c r="A145" s="255"/>
    </row>
  </sheetData>
  <pageMargins left="0.7" right="0.7" top="0.75" bottom="0.75" header="0.3" footer="0.3"/>
  <pageSetup paperSize="3" scale="58" fitToHeight="2" orientation="landscape" r:id="rId1"/>
  <headerFooter alignWithMargins="0">
    <oddFooter>&amp;R&amp;10&amp;D&amp;T</oddFooter>
  </headerFooter>
  <rowBreaks count="2" manualBreakCount="2">
    <brk id="79" max="6" man="1"/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70C0"/>
    <pageSetUpPr fitToPage="1"/>
  </sheetPr>
  <dimension ref="A1:G49"/>
  <sheetViews>
    <sheetView view="pageBreakPreview" zoomScale="60" zoomScaleNormal="70" workbookViewId="0">
      <pane xSplit="1" ySplit="5" topLeftCell="B6" activePane="bottomRight" state="frozen"/>
      <selection activeCell="C41" activeCellId="1" sqref="C19 C41"/>
      <selection pane="topRight" activeCell="C41" activeCellId="1" sqref="C19 C41"/>
      <selection pane="bottomLeft" activeCell="C41" activeCellId="1" sqref="C19 C41"/>
      <selection pane="bottomRight" activeCell="E51" sqref="E51"/>
    </sheetView>
  </sheetViews>
  <sheetFormatPr defaultColWidth="7.5703125" defaultRowHeight="15"/>
  <cols>
    <col min="1" max="1" width="74" style="62" customWidth="1"/>
    <col min="2" max="2" width="18.85546875" style="19" customWidth="1"/>
    <col min="3" max="3" width="24.7109375" style="19" bestFit="1" customWidth="1"/>
    <col min="4" max="5" width="20.5703125" style="19" bestFit="1" customWidth="1"/>
    <col min="6" max="6" width="24.7109375" style="19" bestFit="1" customWidth="1"/>
    <col min="7" max="7" width="20.5703125" style="19" bestFit="1" customWidth="1"/>
    <col min="8" max="16384" width="7.5703125" style="63"/>
  </cols>
  <sheetData>
    <row r="1" spans="1:7" ht="18" customHeight="1">
      <c r="A1" s="4" t="s">
        <v>0</v>
      </c>
      <c r="B1" s="17"/>
      <c r="C1" s="18"/>
    </row>
    <row r="2" spans="1:7" ht="18" customHeight="1">
      <c r="A2" s="3" t="s">
        <v>1</v>
      </c>
      <c r="C2" s="21"/>
      <c r="F2" s="20" t="s">
        <v>150</v>
      </c>
    </row>
    <row r="3" spans="1:7" ht="18" customHeight="1">
      <c r="A3" s="4" t="s">
        <v>152</v>
      </c>
      <c r="B3" s="17"/>
      <c r="C3" s="23"/>
      <c r="D3" s="23"/>
      <c r="E3" s="20" t="s">
        <v>151</v>
      </c>
      <c r="F3" s="22">
        <f ca="1">TODAY()</f>
        <v>43761</v>
      </c>
      <c r="G3" s="23"/>
    </row>
    <row r="4" spans="1:7" ht="18" customHeight="1">
      <c r="A4" s="1" t="s">
        <v>3</v>
      </c>
      <c r="B4" s="24" t="s">
        <v>125</v>
      </c>
      <c r="C4" s="24" t="s">
        <v>4</v>
      </c>
      <c r="D4" s="24" t="s">
        <v>4</v>
      </c>
      <c r="E4" s="24" t="s">
        <v>4</v>
      </c>
      <c r="F4" s="24" t="s">
        <v>4</v>
      </c>
      <c r="G4" s="24" t="s">
        <v>4</v>
      </c>
    </row>
    <row r="5" spans="1:7" ht="15.75">
      <c r="A5" s="25" t="s">
        <v>242</v>
      </c>
      <c r="B5" s="25">
        <v>2019</v>
      </c>
      <c r="C5" s="26">
        <f>B5+1</f>
        <v>2020</v>
      </c>
      <c r="D5" s="26">
        <f t="shared" ref="D5:G5" si="0">C5+1</f>
        <v>2021</v>
      </c>
      <c r="E5" s="26">
        <f t="shared" si="0"/>
        <v>2022</v>
      </c>
      <c r="F5" s="26">
        <f t="shared" si="0"/>
        <v>2023</v>
      </c>
      <c r="G5" s="26">
        <f t="shared" si="0"/>
        <v>2024</v>
      </c>
    </row>
    <row r="6" spans="1:7" ht="18" customHeight="1">
      <c r="A6" s="27" t="s">
        <v>153</v>
      </c>
      <c r="B6" s="28"/>
      <c r="C6" s="28"/>
      <c r="D6" s="28"/>
      <c r="E6" s="28"/>
      <c r="F6" s="28"/>
      <c r="G6" s="28"/>
    </row>
    <row r="7" spans="1:7" ht="18" customHeight="1">
      <c r="A7" s="29" t="s">
        <v>154</v>
      </c>
      <c r="B7" s="30">
        <v>846306.43</v>
      </c>
      <c r="C7" s="30">
        <v>878970.3047139066</v>
      </c>
      <c r="D7" s="30">
        <v>841802.49111870071</v>
      </c>
      <c r="E7" s="30">
        <v>826923.95033285837</v>
      </c>
      <c r="F7" s="30">
        <v>859255.36615923012</v>
      </c>
      <c r="G7" s="30">
        <v>901266.05748545739</v>
      </c>
    </row>
    <row r="8" spans="1:7" ht="18" customHeight="1">
      <c r="A8" s="29" t="s">
        <v>155</v>
      </c>
      <c r="B8" s="31">
        <v>428537.15700000001</v>
      </c>
      <c r="C8" s="31">
        <v>340181.44469481352</v>
      </c>
      <c r="D8" s="31">
        <v>348563.41706421424</v>
      </c>
      <c r="E8" s="31">
        <v>346179.47022676986</v>
      </c>
      <c r="F8" s="31">
        <v>345416.22616422008</v>
      </c>
      <c r="G8" s="31">
        <v>348560.36794234451</v>
      </c>
    </row>
    <row r="9" spans="1:7" ht="18" customHeight="1">
      <c r="A9" s="29" t="s">
        <v>156</v>
      </c>
      <c r="B9" s="32">
        <v>23242.254000000001</v>
      </c>
      <c r="C9" s="32">
        <v>23344.23978700001</v>
      </c>
      <c r="D9" s="32">
        <v>23577.682184870002</v>
      </c>
      <c r="E9" s="32">
        <v>23813.459006718702</v>
      </c>
      <c r="F9" s="32">
        <v>24051.5935780359</v>
      </c>
      <c r="G9" s="32">
        <v>24292.109551503745</v>
      </c>
    </row>
    <row r="10" spans="1:7" ht="18" customHeight="1">
      <c r="A10" s="33" t="s">
        <v>157</v>
      </c>
      <c r="B10" s="34">
        <f>SUM(B7:B9)</f>
        <v>1298085.841</v>
      </c>
      <c r="C10" s="34">
        <f t="shared" ref="C10:G10" si="1">SUM(C7:C9)</f>
        <v>1242495.9891957201</v>
      </c>
      <c r="D10" s="34">
        <f t="shared" si="1"/>
        <v>1213943.5903677847</v>
      </c>
      <c r="E10" s="34">
        <f t="shared" si="1"/>
        <v>1196916.8795663468</v>
      </c>
      <c r="F10" s="34">
        <f t="shared" si="1"/>
        <v>1228723.1859014861</v>
      </c>
      <c r="G10" s="34">
        <f t="shared" si="1"/>
        <v>1274118.5349793057</v>
      </c>
    </row>
    <row r="11" spans="1:7" ht="18" customHeight="1">
      <c r="A11" s="35"/>
      <c r="B11" s="36"/>
      <c r="C11" s="36"/>
      <c r="D11" s="37"/>
      <c r="E11" s="37"/>
      <c r="F11" s="37"/>
      <c r="G11" s="37"/>
    </row>
    <row r="12" spans="1:7" ht="18" customHeight="1">
      <c r="A12" s="38" t="s">
        <v>158</v>
      </c>
      <c r="B12" s="28"/>
      <c r="C12" s="28"/>
      <c r="D12" s="28"/>
      <c r="E12" s="28"/>
      <c r="F12" s="28"/>
      <c r="G12" s="28"/>
    </row>
    <row r="13" spans="1:7" ht="18" customHeight="1">
      <c r="A13" s="29" t="s">
        <v>50</v>
      </c>
      <c r="B13" s="32">
        <v>325659.47499999998</v>
      </c>
      <c r="C13" s="32">
        <v>295937.00724726223</v>
      </c>
      <c r="D13" s="32">
        <v>289222.75189591903</v>
      </c>
      <c r="E13" s="32">
        <v>271251.6668114434</v>
      </c>
      <c r="F13" s="32">
        <v>272912.19681351096</v>
      </c>
      <c r="G13" s="32">
        <v>275097.43618924764</v>
      </c>
    </row>
    <row r="14" spans="1:7" ht="18" customHeight="1">
      <c r="A14" s="29" t="s">
        <v>159</v>
      </c>
      <c r="B14" s="30">
        <v>161739.84099999999</v>
      </c>
      <c r="C14" s="30">
        <v>109417.36962714852</v>
      </c>
      <c r="D14" s="30">
        <v>138715.85371101493</v>
      </c>
      <c r="E14" s="30">
        <v>195985.5802052439</v>
      </c>
      <c r="F14" s="30">
        <v>244612.14911204355</v>
      </c>
      <c r="G14" s="30">
        <v>256362.15174305515</v>
      </c>
    </row>
    <row r="15" spans="1:7" ht="18" customHeight="1">
      <c r="A15" s="29" t="s">
        <v>160</v>
      </c>
      <c r="B15" s="30">
        <v>247088.54699999999</v>
      </c>
      <c r="C15" s="30">
        <v>303722.39271223388</v>
      </c>
      <c r="D15" s="30">
        <v>275467.01874684164</v>
      </c>
      <c r="E15" s="30">
        <v>288225.67735153239</v>
      </c>
      <c r="F15" s="30">
        <v>282990.52380503301</v>
      </c>
      <c r="G15" s="30">
        <v>291234.04101620731</v>
      </c>
    </row>
    <row r="16" spans="1:7" ht="18" customHeight="1">
      <c r="A16" s="29" t="s">
        <v>161</v>
      </c>
      <c r="B16" s="30">
        <v>207426.96100000001</v>
      </c>
      <c r="C16" s="32">
        <v>213546.51551961669</v>
      </c>
      <c r="D16" s="32">
        <v>220157.36511961668</v>
      </c>
      <c r="E16" s="32">
        <v>226005.11178628335</v>
      </c>
      <c r="F16" s="32">
        <v>231087.65178628336</v>
      </c>
      <c r="G16" s="32">
        <v>237009.06336461668</v>
      </c>
    </row>
    <row r="17" spans="1:7" ht="18" customHeight="1">
      <c r="A17" s="29" t="s">
        <v>162</v>
      </c>
      <c r="B17" s="31">
        <v>62057.478999999999</v>
      </c>
      <c r="C17" s="31">
        <v>60371.779243016019</v>
      </c>
      <c r="D17" s="31">
        <v>58578.138882284358</v>
      </c>
      <c r="E17" s="31">
        <v>59781.001401039532</v>
      </c>
      <c r="F17" s="31">
        <v>61416.444578095565</v>
      </c>
      <c r="G17" s="31">
        <v>63529.163829891666</v>
      </c>
    </row>
    <row r="18" spans="1:7" ht="18" customHeight="1">
      <c r="A18" s="39" t="s">
        <v>163</v>
      </c>
      <c r="B18" s="32">
        <v>20073.615000000002</v>
      </c>
      <c r="C18" s="31">
        <v>22484.606</v>
      </c>
      <c r="D18" s="31">
        <v>4114.1059999999998</v>
      </c>
      <c r="E18" s="31">
        <v>0</v>
      </c>
      <c r="F18" s="31">
        <v>0</v>
      </c>
      <c r="G18" s="31">
        <v>0</v>
      </c>
    </row>
    <row r="19" spans="1:7" ht="18" customHeight="1">
      <c r="A19" s="38" t="s">
        <v>164</v>
      </c>
      <c r="B19" s="40">
        <f t="shared" ref="B19:G19" si="2">SUM(B13:B18)</f>
        <v>1024045.9180000001</v>
      </c>
      <c r="C19" s="40">
        <f t="shared" si="2"/>
        <v>1005479.6703492773</v>
      </c>
      <c r="D19" s="40">
        <f t="shared" si="2"/>
        <v>986255.23435567669</v>
      </c>
      <c r="E19" s="40">
        <f t="shared" si="2"/>
        <v>1041249.0375555425</v>
      </c>
      <c r="F19" s="40">
        <f t="shared" si="2"/>
        <v>1093018.9660949665</v>
      </c>
      <c r="G19" s="40">
        <f t="shared" si="2"/>
        <v>1123231.8561430185</v>
      </c>
    </row>
    <row r="20" spans="1:7" ht="18" customHeight="1">
      <c r="A20" s="41"/>
      <c r="B20" s="42"/>
      <c r="C20" s="42"/>
      <c r="D20" s="42"/>
      <c r="E20" s="42"/>
      <c r="F20" s="42"/>
      <c r="G20" s="42"/>
    </row>
    <row r="21" spans="1:7" ht="18" customHeight="1">
      <c r="A21" s="33" t="s">
        <v>165</v>
      </c>
      <c r="B21" s="34">
        <f t="shared" ref="B21:G21" si="3">B10-B19</f>
        <v>274039.92299999995</v>
      </c>
      <c r="C21" s="34">
        <f t="shared" si="3"/>
        <v>237016.31884644274</v>
      </c>
      <c r="D21" s="34">
        <f t="shared" si="3"/>
        <v>227688.35601210804</v>
      </c>
      <c r="E21" s="34">
        <f t="shared" si="3"/>
        <v>155667.84201080422</v>
      </c>
      <c r="F21" s="34">
        <f t="shared" si="3"/>
        <v>135704.21980651957</v>
      </c>
      <c r="G21" s="34">
        <f t="shared" si="3"/>
        <v>150886.67883628723</v>
      </c>
    </row>
    <row r="22" spans="1:7" ht="18" customHeight="1">
      <c r="A22" s="35"/>
      <c r="B22" s="43"/>
      <c r="C22" s="44"/>
      <c r="D22" s="37"/>
      <c r="E22" s="37"/>
      <c r="F22" s="37"/>
      <c r="G22" s="37"/>
    </row>
    <row r="23" spans="1:7" ht="18" customHeight="1">
      <c r="A23" s="38" t="s">
        <v>166</v>
      </c>
      <c r="B23" s="28"/>
      <c r="C23" s="28"/>
      <c r="D23" s="28"/>
      <c r="E23" s="28"/>
      <c r="F23" s="28"/>
      <c r="G23" s="28"/>
    </row>
    <row r="24" spans="1:7" ht="18" customHeight="1">
      <c r="A24" s="29" t="s">
        <v>167</v>
      </c>
      <c r="B24" s="31">
        <v>2411.5239999999999</v>
      </c>
      <c r="C24" s="31">
        <v>934.77414999999201</v>
      </c>
      <c r="D24" s="31">
        <v>4098.2048000000023</v>
      </c>
      <c r="E24" s="31">
        <v>2364.9836000000096</v>
      </c>
      <c r="F24" s="31">
        <v>187.58660000003334</v>
      </c>
      <c r="G24" s="31">
        <v>-795.41869999999358</v>
      </c>
    </row>
    <row r="25" spans="1:7" ht="18" customHeight="1">
      <c r="A25" s="29" t="s">
        <v>168</v>
      </c>
      <c r="B25" s="31">
        <v>21622.727999999999</v>
      </c>
      <c r="C25" s="31">
        <v>12625.9894625</v>
      </c>
      <c r="D25" s="31">
        <v>12752.249357125002</v>
      </c>
      <c r="E25" s="31">
        <v>12879.77185069625</v>
      </c>
      <c r="F25" s="31">
        <v>13008.569569203213</v>
      </c>
      <c r="G25" s="31">
        <v>13138.655264895246</v>
      </c>
    </row>
    <row r="26" spans="1:7" ht="18" customHeight="1">
      <c r="A26" s="29" t="s">
        <v>169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ht="18" customHeight="1">
      <c r="A27" s="29" t="s">
        <v>170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8" customHeight="1">
      <c r="A28" s="29" t="s">
        <v>171</v>
      </c>
      <c r="B28" s="30">
        <v>5172.2389999999996</v>
      </c>
      <c r="C28" s="30">
        <v>4806.4666142300002</v>
      </c>
      <c r="D28" s="30">
        <v>4719.6132199000003</v>
      </c>
      <c r="E28" s="30">
        <v>4637.7474941350001</v>
      </c>
      <c r="F28" s="30">
        <v>4537.481374125251</v>
      </c>
      <c r="G28" s="30">
        <v>4432.1449754038022</v>
      </c>
    </row>
    <row r="29" spans="1:7" ht="18" customHeight="1">
      <c r="A29" s="29" t="s">
        <v>172</v>
      </c>
      <c r="B29" s="31">
        <v>-780.45</v>
      </c>
      <c r="C29" s="31">
        <v>-917.52300000000002</v>
      </c>
      <c r="D29" s="31">
        <v>-917.52300000000002</v>
      </c>
      <c r="E29" s="31">
        <v>-917.52300000000002</v>
      </c>
      <c r="F29" s="31">
        <v>-917.52300000000002</v>
      </c>
      <c r="G29" s="31">
        <v>-917.52300000000002</v>
      </c>
    </row>
    <row r="30" spans="1:7" ht="18" customHeight="1">
      <c r="A30" s="29" t="s">
        <v>173</v>
      </c>
      <c r="B30" s="31">
        <v>-74928.017789999998</v>
      </c>
      <c r="C30" s="31">
        <v>-66745.677725203146</v>
      </c>
      <c r="D30" s="31">
        <v>-66507.421687475609</v>
      </c>
      <c r="E30" s="31">
        <v>-70350.605275180656</v>
      </c>
      <c r="F30" s="31">
        <v>-68869.580390817209</v>
      </c>
      <c r="G30" s="31">
        <v>-67855.835925050778</v>
      </c>
    </row>
    <row r="31" spans="1:7" ht="18" customHeight="1">
      <c r="A31" s="29" t="s">
        <v>174</v>
      </c>
      <c r="B31" s="32">
        <v>-9253.4599999999991</v>
      </c>
      <c r="C31" s="32">
        <v>-10967.386237500001</v>
      </c>
      <c r="D31" s="32">
        <v>-6901.9501250000012</v>
      </c>
      <c r="E31" s="32">
        <v>-2899.0838625000001</v>
      </c>
      <c r="F31" s="32">
        <v>-2839.67985</v>
      </c>
      <c r="G31" s="32">
        <v>-2778.0860625</v>
      </c>
    </row>
    <row r="32" spans="1:7" ht="18" customHeight="1">
      <c r="A32" s="29" t="s">
        <v>175</v>
      </c>
      <c r="B32" s="31">
        <v>-1547.5409999999999</v>
      </c>
      <c r="C32" s="31">
        <v>-6404.9988576939477</v>
      </c>
      <c r="D32" s="31">
        <v>-891.1092016125001</v>
      </c>
      <c r="E32" s="31">
        <v>-895.56474762056257</v>
      </c>
      <c r="F32" s="31">
        <v>-900.04257135866533</v>
      </c>
      <c r="G32" s="31">
        <v>-904.5427842154586</v>
      </c>
    </row>
    <row r="33" spans="1:7" ht="18" customHeight="1">
      <c r="A33" s="29" t="s">
        <v>24</v>
      </c>
      <c r="B33" s="31">
        <v>3973.473</v>
      </c>
      <c r="C33" s="31">
        <v>4078.02</v>
      </c>
      <c r="D33" s="31">
        <v>3671.7327117699997</v>
      </c>
      <c r="E33" s="31">
        <v>3966.5097600000004</v>
      </c>
      <c r="F33" s="31">
        <v>3508.6480000000001</v>
      </c>
      <c r="G33" s="31">
        <v>3049.5240000000003</v>
      </c>
    </row>
    <row r="34" spans="1:7" ht="18" customHeight="1">
      <c r="A34" s="29" t="s">
        <v>176</v>
      </c>
      <c r="B34" s="31"/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6.899999999999999" customHeight="1">
      <c r="A35" s="33" t="s">
        <v>177</v>
      </c>
      <c r="B35" s="34">
        <f>SUM(B24:B34)</f>
        <v>-53329.504789999999</v>
      </c>
      <c r="C35" s="34">
        <f>SUM(C24:C34)</f>
        <v>-62590.335593667107</v>
      </c>
      <c r="D35" s="34">
        <f>SUM(D24:D34)</f>
        <v>-49976.203925293106</v>
      </c>
      <c r="E35" s="34">
        <f t="shared" ref="E35:G35" si="4">SUM(E24:E34)</f>
        <v>-51213.764180469967</v>
      </c>
      <c r="F35" s="34">
        <f t="shared" si="4"/>
        <v>-52284.540268847377</v>
      </c>
      <c r="G35" s="34">
        <f t="shared" si="4"/>
        <v>-52631.082231467182</v>
      </c>
    </row>
    <row r="36" spans="1:7" ht="16.899999999999999" customHeight="1">
      <c r="A36" s="45"/>
      <c r="B36" s="46"/>
      <c r="C36" s="46"/>
      <c r="D36" s="46"/>
      <c r="E36" s="46"/>
      <c r="F36" s="46"/>
      <c r="G36" s="46"/>
    </row>
    <row r="37" spans="1:7" ht="18" customHeight="1">
      <c r="A37" s="47" t="s">
        <v>178</v>
      </c>
      <c r="B37" s="34">
        <f t="shared" ref="B37:G37" si="5">B21+B35</f>
        <v>220710.41820999995</v>
      </c>
      <c r="C37" s="34">
        <f t="shared" si="5"/>
        <v>174425.98325277562</v>
      </c>
      <c r="D37" s="34">
        <f t="shared" si="5"/>
        <v>177712.15208681492</v>
      </c>
      <c r="E37" s="34">
        <f t="shared" si="5"/>
        <v>104454.07783033425</v>
      </c>
      <c r="F37" s="34">
        <f t="shared" si="5"/>
        <v>83419.6795376722</v>
      </c>
      <c r="G37" s="34">
        <f t="shared" si="5"/>
        <v>98255.59660482005</v>
      </c>
    </row>
    <row r="38" spans="1:7" ht="18" customHeight="1">
      <c r="A38" s="15"/>
      <c r="B38" s="48"/>
      <c r="C38" s="49"/>
      <c r="D38" s="49"/>
      <c r="E38" s="49"/>
      <c r="F38" s="49"/>
      <c r="G38" s="49"/>
    </row>
    <row r="39" spans="1:7" ht="18" customHeight="1">
      <c r="A39" s="50" t="s">
        <v>179</v>
      </c>
      <c r="B39" s="28"/>
      <c r="C39" s="28"/>
      <c r="D39" s="28"/>
      <c r="E39" s="28"/>
      <c r="F39" s="28"/>
      <c r="G39" s="28"/>
    </row>
    <row r="40" spans="1:7" ht="18" customHeight="1">
      <c r="A40" s="51" t="s">
        <v>180</v>
      </c>
      <c r="B40" s="30">
        <v>-92952.146999999997</v>
      </c>
      <c r="C40" s="30">
        <v>-93865.674264549307</v>
      </c>
      <c r="D40" s="30">
        <v>-93693.487930031013</v>
      </c>
      <c r="E40" s="30">
        <v>-94320.155764863666</v>
      </c>
      <c r="F40" s="30">
        <v>-94947.381464109305</v>
      </c>
      <c r="G40" s="30">
        <v>-95575.090296098628</v>
      </c>
    </row>
    <row r="41" spans="1:7" ht="18" customHeight="1">
      <c r="A41" s="52" t="s">
        <v>181</v>
      </c>
      <c r="B41" s="256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</row>
    <row r="42" spans="1:7" ht="18" customHeight="1">
      <c r="A42" s="54" t="s">
        <v>182</v>
      </c>
      <c r="B42" s="55">
        <f>B40+B41</f>
        <v>-92952.146999999997</v>
      </c>
      <c r="C42" s="55">
        <f>C40+C41</f>
        <v>-93865.674264549307</v>
      </c>
      <c r="D42" s="55">
        <f t="shared" ref="D42:G42" si="6">D40+D41</f>
        <v>-93693.487930031013</v>
      </c>
      <c r="E42" s="55">
        <f t="shared" si="6"/>
        <v>-94320.155764863666</v>
      </c>
      <c r="F42" s="55">
        <f t="shared" si="6"/>
        <v>-94947.381464109305</v>
      </c>
      <c r="G42" s="55">
        <f t="shared" si="6"/>
        <v>-95575.090296098628</v>
      </c>
    </row>
    <row r="43" spans="1:7" ht="18" customHeight="1">
      <c r="A43" s="56"/>
      <c r="B43" s="57"/>
      <c r="C43" s="57"/>
      <c r="D43" s="57"/>
      <c r="E43" s="57"/>
      <c r="F43" s="57"/>
      <c r="G43" s="57"/>
    </row>
    <row r="44" spans="1:7" ht="18" customHeight="1">
      <c r="A44" s="58" t="s">
        <v>183</v>
      </c>
      <c r="B44" s="59">
        <f>B37+B42</f>
        <v>127758.27120999995</v>
      </c>
      <c r="C44" s="59">
        <f t="shared" ref="C44:G44" si="7">C37+C42</f>
        <v>80560.308988226316</v>
      </c>
      <c r="D44" s="59">
        <f t="shared" si="7"/>
        <v>84018.664156783911</v>
      </c>
      <c r="E44" s="59">
        <f t="shared" si="7"/>
        <v>10133.922065470586</v>
      </c>
      <c r="F44" s="59">
        <f t="shared" si="7"/>
        <v>-11527.701926437105</v>
      </c>
      <c r="G44" s="59">
        <f t="shared" si="7"/>
        <v>2680.5063087214221</v>
      </c>
    </row>
    <row r="45" spans="1:7" ht="18" customHeight="1">
      <c r="A45" s="60" t="s">
        <v>184</v>
      </c>
      <c r="B45" s="30">
        <v>1066817</v>
      </c>
      <c r="C45" s="30">
        <f>B48</f>
        <v>1194574.2712099999</v>
      </c>
      <c r="D45" s="30">
        <f t="shared" ref="D45:G45" si="8">C48</f>
        <v>1275134.5801982263</v>
      </c>
      <c r="E45" s="30">
        <f t="shared" si="8"/>
        <v>1359153.2443550101</v>
      </c>
      <c r="F45" s="30">
        <f t="shared" si="8"/>
        <v>1369287.1664204807</v>
      </c>
      <c r="G45" s="30">
        <f t="shared" si="8"/>
        <v>1357759.4644940435</v>
      </c>
    </row>
    <row r="46" spans="1:7" ht="18" customHeight="1">
      <c r="A46" s="60" t="s">
        <v>245</v>
      </c>
      <c r="B46" s="30">
        <v>-1</v>
      </c>
      <c r="C46" s="30">
        <v>0</v>
      </c>
      <c r="D46" s="30"/>
      <c r="E46" s="30"/>
      <c r="F46" s="30"/>
      <c r="G46" s="30"/>
    </row>
    <row r="47" spans="1:7" ht="18" customHeight="1">
      <c r="A47" s="60" t="s">
        <v>185</v>
      </c>
      <c r="B47" s="30">
        <f>SUM(B45:B46)</f>
        <v>1066816</v>
      </c>
      <c r="C47" s="30">
        <f>SUM(C45:C46)</f>
        <v>1194574.2712099999</v>
      </c>
      <c r="D47" s="30">
        <f>SUM(D45:D46)</f>
        <v>1275134.5801982263</v>
      </c>
      <c r="E47" s="30">
        <f t="shared" ref="E47:G47" si="9">SUM(E45:E46)</f>
        <v>1359153.2443550101</v>
      </c>
      <c r="F47" s="30">
        <f t="shared" si="9"/>
        <v>1369287.1664204807</v>
      </c>
      <c r="G47" s="30">
        <f t="shared" si="9"/>
        <v>1357759.4644940435</v>
      </c>
    </row>
    <row r="48" spans="1:7" ht="18" customHeight="1">
      <c r="A48" s="61" t="s">
        <v>186</v>
      </c>
      <c r="B48" s="55">
        <f>B47+B44</f>
        <v>1194574.2712099999</v>
      </c>
      <c r="C48" s="55">
        <f>C47+C44</f>
        <v>1275134.5801982263</v>
      </c>
      <c r="D48" s="55">
        <f>D47+D44</f>
        <v>1359153.2443550101</v>
      </c>
      <c r="E48" s="55">
        <f t="shared" ref="E48:G48" si="10">E47+E44</f>
        <v>1369287.1664204807</v>
      </c>
      <c r="F48" s="55">
        <f t="shared" si="10"/>
        <v>1357759.4644940435</v>
      </c>
      <c r="G48" s="55">
        <f t="shared" si="10"/>
        <v>1360439.9708027649</v>
      </c>
    </row>
    <row r="49" spans="2:2" ht="18" customHeight="1">
      <c r="B49" s="62"/>
    </row>
  </sheetData>
  <pageMargins left="0.7" right="0.7" top="0.75" bottom="0.75" header="0.3" footer="0.3"/>
  <pageSetup paperSize="3" scale="82" orientation="landscape" r:id="rId1"/>
  <headerFooter alignWithMargins="0">
    <oddFooter>&amp;R&amp;10&amp;D&amp;T</oddFooter>
  </headerFooter>
  <rowBreaks count="1" manualBreakCount="1">
    <brk id="4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70C0"/>
    <pageSetUpPr fitToPage="1"/>
  </sheetPr>
  <dimension ref="A2:G47"/>
  <sheetViews>
    <sheetView view="pageBreakPreview" zoomScale="60" zoomScaleNormal="60" workbookViewId="0">
      <selection activeCell="E58" sqref="E58"/>
    </sheetView>
  </sheetViews>
  <sheetFormatPr defaultRowHeight="15"/>
  <cols>
    <col min="1" max="1" width="81.5703125" style="2" bestFit="1" customWidth="1"/>
    <col min="2" max="2" width="12.7109375" style="2" bestFit="1" customWidth="1"/>
    <col min="3" max="3" width="14.140625" style="2" bestFit="1" customWidth="1"/>
    <col min="4" max="4" width="13.28515625" style="2" bestFit="1" customWidth="1"/>
    <col min="5" max="5" width="13.7109375" style="2" bestFit="1" customWidth="1"/>
    <col min="6" max="6" width="14.140625" style="2" bestFit="1" customWidth="1"/>
    <col min="7" max="7" width="13.7109375" style="2" bestFit="1" customWidth="1"/>
    <col min="8" max="10" width="9.140625" style="2"/>
    <col min="11" max="11" width="14.7109375" style="2" bestFit="1" customWidth="1"/>
    <col min="12" max="16384" width="9.140625" style="2"/>
  </cols>
  <sheetData>
    <row r="2" spans="1:7" ht="18">
      <c r="A2" s="1" t="s">
        <v>0</v>
      </c>
    </row>
    <row r="3" spans="1:7" ht="18">
      <c r="A3" s="3" t="s">
        <v>1</v>
      </c>
    </row>
    <row r="4" spans="1:7" ht="18">
      <c r="A4" s="4" t="s">
        <v>2</v>
      </c>
    </row>
    <row r="5" spans="1:7" ht="18">
      <c r="A5" s="1" t="s">
        <v>3</v>
      </c>
      <c r="B5" s="5"/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</row>
    <row r="6" spans="1:7">
      <c r="A6" s="6"/>
      <c r="B6" s="6">
        <v>2019</v>
      </c>
      <c r="C6" s="6">
        <f>B6+1</f>
        <v>2020</v>
      </c>
      <c r="D6" s="6">
        <f t="shared" ref="D6:G6" si="0">C6+1</f>
        <v>2021</v>
      </c>
      <c r="E6" s="6">
        <f t="shared" si="0"/>
        <v>2022</v>
      </c>
      <c r="F6" s="6">
        <f t="shared" si="0"/>
        <v>2023</v>
      </c>
      <c r="G6" s="6">
        <f t="shared" si="0"/>
        <v>2024</v>
      </c>
    </row>
    <row r="7" spans="1:7" ht="15.75">
      <c r="A7" s="7" t="s">
        <v>5</v>
      </c>
      <c r="B7" s="273"/>
      <c r="C7" s="273"/>
      <c r="D7" s="273"/>
      <c r="E7" s="273"/>
      <c r="F7" s="273"/>
      <c r="G7" s="273"/>
    </row>
    <row r="8" spans="1:7">
      <c r="A8" s="8" t="s">
        <v>6</v>
      </c>
      <c r="B8" s="274"/>
      <c r="C8" s="274">
        <v>80560.308988226316</v>
      </c>
      <c r="D8" s="274">
        <v>84018.664156783911</v>
      </c>
      <c r="E8" s="274">
        <v>10133.922065470586</v>
      </c>
      <c r="F8" s="274">
        <v>-11527.701926437105</v>
      </c>
      <c r="G8" s="274">
        <v>2680.5063087214221</v>
      </c>
    </row>
    <row r="9" spans="1:7">
      <c r="A9" s="8" t="s">
        <v>7</v>
      </c>
      <c r="B9" s="274"/>
      <c r="C9" s="274">
        <v>93865.674264549307</v>
      </c>
      <c r="D9" s="274">
        <v>93693.487930031013</v>
      </c>
      <c r="E9" s="274">
        <v>94320.155764863666</v>
      </c>
      <c r="F9" s="274">
        <v>94947.381464109305</v>
      </c>
      <c r="G9" s="274">
        <v>95575.090296098628</v>
      </c>
    </row>
    <row r="10" spans="1:7">
      <c r="A10" s="8" t="s">
        <v>8</v>
      </c>
      <c r="B10" s="274"/>
      <c r="C10" s="274">
        <v>77713.063962703149</v>
      </c>
      <c r="D10" s="274">
        <v>73409.371812475612</v>
      </c>
      <c r="E10" s="274">
        <v>73249.68913768066</v>
      </c>
      <c r="F10" s="274">
        <v>71709.26024081721</v>
      </c>
      <c r="G10" s="274">
        <v>70633.921987550784</v>
      </c>
    </row>
    <row r="11" spans="1:7">
      <c r="A11" s="8" t="s">
        <v>9</v>
      </c>
      <c r="B11" s="274"/>
      <c r="C11" s="274">
        <v>-12625.9894625</v>
      </c>
      <c r="D11" s="274">
        <v>-12752.249357125002</v>
      </c>
      <c r="E11" s="274">
        <v>-12879.77185069625</v>
      </c>
      <c r="F11" s="274">
        <v>-13008.569569203213</v>
      </c>
      <c r="G11" s="274">
        <v>-13138.655264895246</v>
      </c>
    </row>
    <row r="12" spans="1:7">
      <c r="A12" s="8" t="s">
        <v>10</v>
      </c>
      <c r="B12" s="274"/>
      <c r="C12" s="274">
        <v>-4078.02</v>
      </c>
      <c r="D12" s="274">
        <v>-3671.7327117699997</v>
      </c>
      <c r="E12" s="274">
        <v>-3966.5097600000004</v>
      </c>
      <c r="F12" s="274">
        <v>-3508.6480000000001</v>
      </c>
      <c r="G12" s="274">
        <v>-3049.5240000000003</v>
      </c>
    </row>
    <row r="13" spans="1:7">
      <c r="A13" s="8" t="s">
        <v>11</v>
      </c>
      <c r="B13" s="274"/>
      <c r="C13" s="274">
        <v>-934.77414999999201</v>
      </c>
      <c r="D13" s="274">
        <v>-4098.2048000000023</v>
      </c>
      <c r="E13" s="274">
        <v>-2364.9836000000096</v>
      </c>
      <c r="F13" s="274">
        <v>-187.58660000003334</v>
      </c>
      <c r="G13" s="274">
        <v>795.41869999999358</v>
      </c>
    </row>
    <row r="14" spans="1:7">
      <c r="A14" s="8" t="s">
        <v>12</v>
      </c>
      <c r="B14" s="274"/>
      <c r="C14" s="274">
        <v>213546.51551961669</v>
      </c>
      <c r="D14" s="274">
        <v>220157.36511961668</v>
      </c>
      <c r="E14" s="274">
        <v>226005.11178628335</v>
      </c>
      <c r="F14" s="274">
        <v>231087.65178628336</v>
      </c>
      <c r="G14" s="274">
        <v>237009.06336461668</v>
      </c>
    </row>
    <row r="15" spans="1:7">
      <c r="A15" s="8" t="s">
        <v>13</v>
      </c>
      <c r="B15" s="274"/>
      <c r="C15" s="274"/>
      <c r="D15" s="274"/>
      <c r="E15" s="274"/>
      <c r="F15" s="274"/>
      <c r="G15" s="274"/>
    </row>
    <row r="16" spans="1:7">
      <c r="A16" s="8" t="s">
        <v>14</v>
      </c>
      <c r="B16" s="274"/>
      <c r="C16" s="274">
        <v>3757.5443295320729</v>
      </c>
      <c r="D16" s="274">
        <v>5501.4238449953264</v>
      </c>
      <c r="E16" s="274">
        <v>-3477.8339178589522</v>
      </c>
      <c r="F16" s="274">
        <v>-4999.1635950444033</v>
      </c>
      <c r="G16" s="274">
        <v>-6042.5152238551527</v>
      </c>
    </row>
    <row r="17" spans="1:7">
      <c r="A17" s="8" t="s">
        <v>15</v>
      </c>
      <c r="B17" s="274"/>
      <c r="C17" s="274">
        <v>0</v>
      </c>
      <c r="D17" s="274">
        <v>0</v>
      </c>
      <c r="E17" s="274">
        <v>0</v>
      </c>
      <c r="F17" s="274">
        <v>0</v>
      </c>
      <c r="G17" s="274">
        <v>0</v>
      </c>
    </row>
    <row r="18" spans="1:7">
      <c r="A18" s="8" t="s">
        <v>16</v>
      </c>
      <c r="B18" s="274"/>
      <c r="C18" s="274">
        <v>6370.5177789990121</v>
      </c>
      <c r="D18" s="274">
        <v>-604.34693591635005</v>
      </c>
      <c r="E18" s="274">
        <v>171.88448053784305</v>
      </c>
      <c r="F18" s="274">
        <v>55.030509554315358</v>
      </c>
      <c r="G18" s="274">
        <v>-226.69514595786677</v>
      </c>
    </row>
    <row r="19" spans="1:7">
      <c r="A19" s="8" t="s">
        <v>17</v>
      </c>
      <c r="B19" s="274"/>
      <c r="C19" s="274">
        <v>7837.3539999999921</v>
      </c>
      <c r="D19" s="274">
        <v>0</v>
      </c>
      <c r="E19" s="274">
        <v>0</v>
      </c>
      <c r="F19" s="274">
        <v>0</v>
      </c>
      <c r="G19" s="274">
        <v>0</v>
      </c>
    </row>
    <row r="20" spans="1:7">
      <c r="A20" s="8" t="s">
        <v>18</v>
      </c>
      <c r="B20" s="274"/>
      <c r="C20" s="274">
        <v>-464.98034233229555</v>
      </c>
      <c r="D20" s="274">
        <v>-1635.592421181369</v>
      </c>
      <c r="E20" s="274">
        <v>3487.9562430691294</v>
      </c>
      <c r="F20" s="274">
        <v>3531.1014567906677</v>
      </c>
      <c r="G20" s="274">
        <v>2544.3679711107106</v>
      </c>
    </row>
    <row r="21" spans="1:7">
      <c r="A21" s="8" t="s">
        <v>19</v>
      </c>
      <c r="B21" s="274"/>
      <c r="C21" s="274">
        <v>223.92500000000291</v>
      </c>
      <c r="D21" s="274">
        <v>225.04462500000227</v>
      </c>
      <c r="E21" s="274">
        <v>226.16984812499868</v>
      </c>
      <c r="F21" s="274">
        <v>227.30069736562291</v>
      </c>
      <c r="G21" s="274">
        <v>228.4372008524515</v>
      </c>
    </row>
    <row r="22" spans="1:7">
      <c r="A22" s="8" t="s">
        <v>20</v>
      </c>
      <c r="B22" s="274"/>
      <c r="C22" s="274">
        <v>-22475.96668554761</v>
      </c>
      <c r="D22" s="274">
        <v>-31717.185518113663</v>
      </c>
      <c r="E22" s="274">
        <v>4553.5281066965545</v>
      </c>
      <c r="F22" s="274">
        <v>8414.5903890503105</v>
      </c>
      <c r="G22" s="274">
        <v>6173.9523278845008</v>
      </c>
    </row>
    <row r="23" spans="1:7" ht="15.75">
      <c r="A23" s="9" t="s">
        <v>21</v>
      </c>
      <c r="B23" s="275"/>
      <c r="C23" s="275">
        <v>443295.17320324667</v>
      </c>
      <c r="D23" s="275">
        <v>422526.04574479617</v>
      </c>
      <c r="E23" s="275">
        <v>389459.31830417167</v>
      </c>
      <c r="F23" s="275">
        <v>376740.64685328602</v>
      </c>
      <c r="G23" s="275">
        <v>393183.36852212693</v>
      </c>
    </row>
    <row r="24" spans="1:7">
      <c r="A24" s="262"/>
      <c r="B24" s="10"/>
      <c r="C24" s="10"/>
      <c r="D24" s="10"/>
      <c r="E24" s="10"/>
      <c r="F24" s="10"/>
      <c r="G24" s="10"/>
    </row>
    <row r="25" spans="1:7" ht="15.75">
      <c r="A25" s="261" t="s">
        <v>22</v>
      </c>
      <c r="B25" s="274"/>
      <c r="C25" s="274"/>
      <c r="D25" s="274"/>
      <c r="E25" s="274"/>
      <c r="F25" s="274"/>
      <c r="G25" s="274"/>
    </row>
    <row r="26" spans="1:7">
      <c r="A26" s="8" t="s">
        <v>23</v>
      </c>
      <c r="B26" s="274"/>
      <c r="C26" s="274">
        <v>-183586.63558850021</v>
      </c>
      <c r="D26" s="274">
        <v>-198325.4879999996</v>
      </c>
      <c r="E26" s="274">
        <v>-175432.3999999997</v>
      </c>
      <c r="F26" s="274">
        <v>-152476.20000000088</v>
      </c>
      <c r="G26" s="274">
        <v>-177642.34735000003</v>
      </c>
    </row>
    <row r="27" spans="1:7">
      <c r="A27" s="8" t="s">
        <v>24</v>
      </c>
      <c r="B27" s="274"/>
      <c r="C27" s="274">
        <v>4078.02</v>
      </c>
      <c r="D27" s="274">
        <v>3671.7327117699997</v>
      </c>
      <c r="E27" s="274">
        <v>3966.5097600000004</v>
      </c>
      <c r="F27" s="274">
        <v>3508.6480000000001</v>
      </c>
      <c r="G27" s="274">
        <v>3049.5240000000003</v>
      </c>
    </row>
    <row r="28" spans="1:7">
      <c r="A28" s="8" t="s">
        <v>25</v>
      </c>
      <c r="B28" s="274"/>
      <c r="C28" s="274">
        <v>-89</v>
      </c>
      <c r="D28" s="274">
        <v>-500</v>
      </c>
      <c r="E28" s="274">
        <v>-4000</v>
      </c>
      <c r="F28" s="274">
        <v>-5000</v>
      </c>
      <c r="G28" s="274">
        <v>-1000</v>
      </c>
    </row>
    <row r="29" spans="1:7">
      <c r="A29" s="8" t="s">
        <v>26</v>
      </c>
      <c r="B29" s="274"/>
      <c r="C29" s="274"/>
      <c r="D29" s="274"/>
      <c r="E29" s="274"/>
      <c r="F29" s="274"/>
      <c r="G29" s="274"/>
    </row>
    <row r="30" spans="1:7">
      <c r="A30" s="8" t="s">
        <v>27</v>
      </c>
      <c r="B30" s="274"/>
      <c r="C30" s="274">
        <v>12625.9894625</v>
      </c>
      <c r="D30" s="274">
        <v>12752.249357125002</v>
      </c>
      <c r="E30" s="274">
        <v>12879.77185069625</v>
      </c>
      <c r="F30" s="274">
        <v>13008.569569203213</v>
      </c>
      <c r="G30" s="274">
        <v>13138.655264895246</v>
      </c>
    </row>
    <row r="31" spans="1:7">
      <c r="A31" s="8" t="s">
        <v>28</v>
      </c>
      <c r="B31" s="276"/>
      <c r="C31" s="276">
        <v>934.77414999999201</v>
      </c>
      <c r="D31" s="276">
        <v>4098.2048000000023</v>
      </c>
      <c r="E31" s="276">
        <v>2364.9836000000096</v>
      </c>
      <c r="F31" s="276">
        <v>187.58660000003334</v>
      </c>
      <c r="G31" s="276">
        <v>-795.41869999999358</v>
      </c>
    </row>
    <row r="32" spans="1:7" ht="15.75">
      <c r="A32" s="9" t="s">
        <v>29</v>
      </c>
      <c r="B32" s="275"/>
      <c r="C32" s="275">
        <v>-166036.85197600024</v>
      </c>
      <c r="D32" s="275">
        <v>-178303.30113110461</v>
      </c>
      <c r="E32" s="275">
        <v>-160221.13478930347</v>
      </c>
      <c r="F32" s="275">
        <v>-140771.39583079764</v>
      </c>
      <c r="G32" s="275">
        <v>-163249.58678510477</v>
      </c>
    </row>
    <row r="33" spans="1:7">
      <c r="A33" s="262"/>
      <c r="B33" s="263"/>
      <c r="C33" s="263"/>
      <c r="D33" s="263"/>
      <c r="E33" s="263"/>
      <c r="F33" s="263"/>
      <c r="G33" s="263"/>
    </row>
    <row r="34" spans="1:7" ht="15.75">
      <c r="A34" s="261" t="s">
        <v>30</v>
      </c>
      <c r="B34" s="274"/>
      <c r="C34" s="274"/>
      <c r="D34" s="274"/>
      <c r="E34" s="274"/>
      <c r="F34" s="274"/>
      <c r="G34" s="274"/>
    </row>
    <row r="35" spans="1:7">
      <c r="A35" s="12" t="s">
        <v>31</v>
      </c>
      <c r="B35" s="274"/>
      <c r="C35" s="274">
        <v>-81569.499756453151</v>
      </c>
      <c r="D35" s="274">
        <v>-71132.08875622561</v>
      </c>
      <c r="E35" s="274">
        <v>-69868.799256430662</v>
      </c>
      <c r="F35" s="274">
        <v>-72869.090259567194</v>
      </c>
      <c r="G35" s="274">
        <v>-71094.514168800786</v>
      </c>
    </row>
    <row r="36" spans="1:7">
      <c r="A36" s="13" t="s">
        <v>32</v>
      </c>
      <c r="B36" s="274"/>
      <c r="C36" s="274">
        <v>-122380</v>
      </c>
      <c r="D36" s="274">
        <v>-67765</v>
      </c>
      <c r="E36" s="274">
        <v>-66220</v>
      </c>
      <c r="F36" s="274">
        <v>-51980</v>
      </c>
      <c r="G36" s="274">
        <v>-24265</v>
      </c>
    </row>
    <row r="37" spans="1:7">
      <c r="A37" s="13" t="s">
        <v>33</v>
      </c>
      <c r="B37" s="274"/>
      <c r="C37" s="274">
        <v>-48070</v>
      </c>
      <c r="D37" s="274">
        <v>0</v>
      </c>
      <c r="E37" s="274">
        <v>0</v>
      </c>
      <c r="F37" s="274">
        <v>0</v>
      </c>
      <c r="G37" s="274">
        <v>0</v>
      </c>
    </row>
    <row r="38" spans="1:7">
      <c r="A38" s="13" t="s">
        <v>34</v>
      </c>
      <c r="B38" s="274"/>
      <c r="C38" s="274">
        <v>0</v>
      </c>
      <c r="D38" s="274">
        <v>0</v>
      </c>
      <c r="E38" s="274">
        <v>0</v>
      </c>
      <c r="F38" s="274">
        <v>0</v>
      </c>
      <c r="G38" s="274">
        <v>0</v>
      </c>
    </row>
    <row r="39" spans="1:7">
      <c r="A39" s="13" t="s">
        <v>35</v>
      </c>
      <c r="B39" s="274"/>
      <c r="C39" s="274">
        <v>-8689.7138902797305</v>
      </c>
      <c r="D39" s="274">
        <v>-1454.4169625243812</v>
      </c>
      <c r="E39" s="274">
        <v>-370.14687481935835</v>
      </c>
      <c r="F39" s="274">
        <v>527.89229081722442</v>
      </c>
      <c r="G39" s="274">
        <v>496.9259750507772</v>
      </c>
    </row>
    <row r="40" spans="1:7">
      <c r="A40" s="13" t="s">
        <v>36</v>
      </c>
      <c r="B40" s="276"/>
      <c r="C40" s="276">
        <v>-93865.674264549307</v>
      </c>
      <c r="D40" s="276">
        <v>-93693.487930031013</v>
      </c>
      <c r="E40" s="276">
        <v>-94320.155764863666</v>
      </c>
      <c r="F40" s="276">
        <v>-94947.381464109305</v>
      </c>
      <c r="G40" s="276">
        <v>-95575.090296098628</v>
      </c>
    </row>
    <row r="41" spans="1:7" ht="15.75">
      <c r="A41" s="9" t="s">
        <v>37</v>
      </c>
      <c r="B41" s="276"/>
      <c r="C41" s="276">
        <v>-354574.88791128219</v>
      </c>
      <c r="D41" s="276">
        <v>-234044.99364878098</v>
      </c>
      <c r="E41" s="276">
        <v>-230779.10189611366</v>
      </c>
      <c r="F41" s="276">
        <v>-219268.57943285926</v>
      </c>
      <c r="G41" s="276">
        <v>-190437.67848984862</v>
      </c>
    </row>
    <row r="42" spans="1:7">
      <c r="A42" s="11"/>
      <c r="B42" s="10"/>
      <c r="C42" s="10"/>
      <c r="D42" s="10"/>
      <c r="E42" s="10"/>
      <c r="F42" s="10"/>
      <c r="G42" s="10"/>
    </row>
    <row r="43" spans="1:7" ht="15.75">
      <c r="A43" s="266" t="s">
        <v>38</v>
      </c>
      <c r="B43" s="277">
        <f>B45-B44</f>
        <v>70841</v>
      </c>
      <c r="C43" s="277">
        <v>-77316.566684035759</v>
      </c>
      <c r="D43" s="277">
        <v>10177.750964910578</v>
      </c>
      <c r="E43" s="277">
        <v>-1540.9183812454576</v>
      </c>
      <c r="F43" s="277">
        <v>16700.671589629113</v>
      </c>
      <c r="G43" s="277">
        <v>39496.103247173538</v>
      </c>
    </row>
    <row r="44" spans="1:7" ht="15.75">
      <c r="A44" s="14" t="s">
        <v>39</v>
      </c>
      <c r="B44" s="274">
        <f>285611+203</f>
        <v>285814</v>
      </c>
      <c r="C44" s="274">
        <f>B45+B47</f>
        <v>587504</v>
      </c>
      <c r="D44" s="274">
        <f>C45</f>
        <v>510187.43331596424</v>
      </c>
      <c r="E44" s="274">
        <f t="shared" ref="E44:G44" si="1">D45</f>
        <v>520365.18428087479</v>
      </c>
      <c r="F44" s="274">
        <f t="shared" si="1"/>
        <v>518824.26589962933</v>
      </c>
      <c r="G44" s="274">
        <f t="shared" si="1"/>
        <v>535524.93748925847</v>
      </c>
    </row>
    <row r="45" spans="1:7" ht="15.75">
      <c r="A45" s="16" t="s">
        <v>40</v>
      </c>
      <c r="B45" s="276">
        <f>282069+74586</f>
        <v>356655</v>
      </c>
      <c r="C45" s="276">
        <f>C43+C44</f>
        <v>510187.43331596424</v>
      </c>
      <c r="D45" s="276">
        <f t="shared" ref="D45:G45" si="2">D43+D44</f>
        <v>520365.18428087479</v>
      </c>
      <c r="E45" s="276">
        <f t="shared" si="2"/>
        <v>518824.26589962933</v>
      </c>
      <c r="F45" s="276">
        <f t="shared" si="2"/>
        <v>535524.93748925847</v>
      </c>
      <c r="G45" s="276">
        <f t="shared" si="2"/>
        <v>575021.04073643195</v>
      </c>
    </row>
    <row r="46" spans="1:7" ht="15.75">
      <c r="A46" s="14" t="s">
        <v>243</v>
      </c>
      <c r="B46" s="274">
        <f>83268+419536</f>
        <v>502804</v>
      </c>
      <c r="C46" s="273"/>
      <c r="D46" s="273"/>
      <c r="E46" s="273"/>
      <c r="F46" s="273"/>
      <c r="G46" s="273"/>
    </row>
    <row r="47" spans="1:7" ht="15.75">
      <c r="A47" s="16" t="s">
        <v>244</v>
      </c>
      <c r="B47" s="276">
        <f>230849</f>
        <v>230849</v>
      </c>
      <c r="C47" s="278"/>
      <c r="D47" s="278"/>
      <c r="E47" s="278"/>
      <c r="F47" s="278"/>
      <c r="G47" s="278"/>
    </row>
  </sheetData>
  <pageMargins left="0.7" right="0.7" top="0.75" bottom="0.75" header="0.3" footer="0.3"/>
  <pageSetup paperSize="3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>
    <tabColor theme="4" tint="-0.249977111117893"/>
    <pageSetUpPr fitToPage="1"/>
  </sheetPr>
  <dimension ref="B1:N63"/>
  <sheetViews>
    <sheetView zoomScale="60" zoomScaleNormal="60" workbookViewId="0">
      <selection activeCell="F55" sqref="F55"/>
    </sheetView>
  </sheetViews>
  <sheetFormatPr defaultColWidth="11.7109375" defaultRowHeight="15.75" outlineLevelRow="1"/>
  <cols>
    <col min="1" max="1" width="5.28515625" style="70" customWidth="1"/>
    <col min="2" max="2" width="88.140625" style="72" bestFit="1" customWidth="1"/>
    <col min="3" max="3" width="19" style="70" hidden="1" customWidth="1"/>
    <col min="4" max="4" width="20.85546875" style="70" hidden="1" customWidth="1"/>
    <col min="5" max="5" width="30.7109375" style="70" hidden="1" customWidth="1"/>
    <col min="6" max="7" width="27.28515625" style="70" bestFit="1" customWidth="1"/>
    <col min="8" max="8" width="27.7109375" style="70" bestFit="1" customWidth="1"/>
    <col min="9" max="9" width="27.28515625" style="70" bestFit="1" customWidth="1"/>
    <col min="10" max="11" width="27.7109375" style="70" bestFit="1" customWidth="1"/>
    <col min="12" max="12" width="28.28515625" style="70" hidden="1" customWidth="1"/>
    <col min="13" max="13" width="19.7109375" style="70" bestFit="1" customWidth="1"/>
    <col min="14" max="16384" width="11.7109375" style="70"/>
  </cols>
  <sheetData>
    <row r="1" spans="2:14" ht="16.5" thickBot="1">
      <c r="B1" s="69" t="s">
        <v>242</v>
      </c>
    </row>
    <row r="2" spans="2:14" ht="16.5" thickBot="1">
      <c r="B2" s="71">
        <f ca="1">TODAY()</f>
        <v>43761</v>
      </c>
    </row>
    <row r="3" spans="2:14" ht="16.5" thickBot="1">
      <c r="C3" s="73" t="s">
        <v>125</v>
      </c>
      <c r="D3" s="74"/>
      <c r="E3" s="75"/>
      <c r="L3" s="76"/>
    </row>
    <row r="4" spans="2:14" ht="16.5" thickBot="1">
      <c r="B4" s="77" t="s">
        <v>189</v>
      </c>
      <c r="C4" s="78" t="s">
        <v>190</v>
      </c>
      <c r="D4" s="79" t="s">
        <v>191</v>
      </c>
      <c r="E4" s="79" t="s">
        <v>192</v>
      </c>
      <c r="F4" s="80" t="s">
        <v>125</v>
      </c>
      <c r="G4" s="80" t="s">
        <v>4</v>
      </c>
      <c r="H4" s="80" t="s">
        <v>4</v>
      </c>
      <c r="I4" s="80" t="s">
        <v>4</v>
      </c>
      <c r="J4" s="80" t="s">
        <v>4</v>
      </c>
      <c r="K4" s="81" t="s">
        <v>4</v>
      </c>
      <c r="L4" s="82" t="s">
        <v>4</v>
      </c>
      <c r="M4" s="76"/>
      <c r="N4" s="83"/>
    </row>
    <row r="5" spans="2:14" ht="16.5" thickBot="1">
      <c r="B5" s="84" t="s">
        <v>193</v>
      </c>
      <c r="C5" s="85"/>
      <c r="D5" s="86"/>
      <c r="E5" s="86"/>
      <c r="F5" s="87">
        <v>2019</v>
      </c>
      <c r="G5" s="87">
        <v>2020</v>
      </c>
      <c r="H5" s="87">
        <v>2021</v>
      </c>
      <c r="I5" s="87">
        <v>2022</v>
      </c>
      <c r="J5" s="87">
        <v>2023</v>
      </c>
      <c r="K5" s="87">
        <v>2024</v>
      </c>
      <c r="L5" s="88">
        <v>2025</v>
      </c>
      <c r="M5" s="76"/>
      <c r="N5" s="89"/>
    </row>
    <row r="6" spans="2:14">
      <c r="B6" s="90" t="s">
        <v>194</v>
      </c>
      <c r="C6" s="91">
        <v>741410537.60000002</v>
      </c>
      <c r="D6" s="92">
        <v>749838995.74999988</v>
      </c>
      <c r="E6" s="93">
        <v>750130701</v>
      </c>
      <c r="F6" s="94">
        <v>774319290.56999993</v>
      </c>
      <c r="G6" s="264">
        <v>753551617.47105992</v>
      </c>
      <c r="H6" s="264">
        <v>753551617.4710598</v>
      </c>
      <c r="I6" s="264">
        <v>775914332.11519158</v>
      </c>
      <c r="J6" s="264">
        <v>806625793.55979943</v>
      </c>
      <c r="K6" s="265">
        <v>846550693.43778932</v>
      </c>
      <c r="L6" s="95" t="e">
        <f>'E IS'!#REF!*1000-(L11*2/3)-L12-L15</f>
        <v>#REF!</v>
      </c>
      <c r="M6" s="76"/>
      <c r="N6" s="89"/>
    </row>
    <row r="7" spans="2:14">
      <c r="B7" s="96" t="s">
        <v>195</v>
      </c>
      <c r="C7" s="97">
        <v>482114555.38999999</v>
      </c>
      <c r="D7" s="98">
        <v>428033322.87000006</v>
      </c>
      <c r="E7" s="99">
        <v>394190695</v>
      </c>
      <c r="F7" s="100">
        <v>400722400</v>
      </c>
      <c r="G7" s="101">
        <v>386100000</v>
      </c>
      <c r="H7" s="101">
        <v>350460000</v>
      </c>
      <c r="I7" s="101">
        <v>350460000</v>
      </c>
      <c r="J7" s="101">
        <v>350460000.00000006</v>
      </c>
      <c r="K7" s="102">
        <v>350460000</v>
      </c>
      <c r="L7" s="102" t="e">
        <f>'E IS'!#REF!*1000-(L11*1/3)-L16-L10</f>
        <v>#REF!</v>
      </c>
      <c r="M7" s="76"/>
      <c r="N7" s="89"/>
    </row>
    <row r="8" spans="2:14" hidden="1">
      <c r="B8" s="103" t="s">
        <v>196</v>
      </c>
      <c r="C8" s="97">
        <v>0</v>
      </c>
      <c r="D8" s="98">
        <v>0</v>
      </c>
      <c r="E8" s="99">
        <v>0</v>
      </c>
      <c r="F8" s="100">
        <v>0</v>
      </c>
      <c r="G8" s="101">
        <v>0</v>
      </c>
      <c r="H8" s="101">
        <v>0</v>
      </c>
      <c r="I8" s="101">
        <v>0</v>
      </c>
      <c r="J8" s="101">
        <v>0</v>
      </c>
      <c r="K8" s="102">
        <v>0</v>
      </c>
      <c r="L8" s="102">
        <v>0</v>
      </c>
      <c r="M8" s="76"/>
    </row>
    <row r="9" spans="2:14" hidden="1">
      <c r="B9" s="103" t="s">
        <v>197</v>
      </c>
      <c r="C9" s="97">
        <v>0</v>
      </c>
      <c r="D9" s="98">
        <v>0</v>
      </c>
      <c r="E9" s="99">
        <v>0</v>
      </c>
      <c r="F9" s="100">
        <v>0</v>
      </c>
      <c r="G9" s="101">
        <v>0</v>
      </c>
      <c r="H9" s="101">
        <v>0</v>
      </c>
      <c r="I9" s="101">
        <v>0</v>
      </c>
      <c r="J9" s="101">
        <v>0</v>
      </c>
      <c r="K9" s="102">
        <v>0</v>
      </c>
      <c r="L9" s="102">
        <v>0</v>
      </c>
      <c r="M9" s="76"/>
    </row>
    <row r="10" spans="2:14">
      <c r="B10" s="103" t="s">
        <v>198</v>
      </c>
      <c r="C10" s="97">
        <v>2785747.91</v>
      </c>
      <c r="D10" s="98">
        <v>4017496.59</v>
      </c>
      <c r="E10" s="99">
        <v>5239757</v>
      </c>
      <c r="F10" s="100">
        <v>1109990</v>
      </c>
      <c r="G10" s="101">
        <v>3556065.01511</v>
      </c>
      <c r="H10" s="101">
        <v>5905.8904084000005</v>
      </c>
      <c r="I10" s="101">
        <v>34372.93446425</v>
      </c>
      <c r="J10" s="101">
        <v>2220567.2212772002</v>
      </c>
      <c r="K10" s="102">
        <v>2220567.2212772002</v>
      </c>
      <c r="L10" s="102">
        <v>0</v>
      </c>
      <c r="M10" s="76"/>
    </row>
    <row r="11" spans="2:14">
      <c r="B11" s="103" t="s">
        <v>199</v>
      </c>
      <c r="C11" s="97">
        <v>-1115164.3237997233</v>
      </c>
      <c r="D11" s="98">
        <v>-1179000</v>
      </c>
      <c r="E11" s="99">
        <v>-597978</v>
      </c>
      <c r="F11" s="100">
        <v>-1559715</v>
      </c>
      <c r="G11" s="101">
        <v>-1883295.0175325058</v>
      </c>
      <c r="H11" s="101">
        <v>-1876304.3829234201</v>
      </c>
      <c r="I11" s="101">
        <v>-1913996.5934932781</v>
      </c>
      <c r="J11" s="101">
        <v>-1968256.438235617</v>
      </c>
      <c r="K11" s="102">
        <v>-2040550.8803859008</v>
      </c>
      <c r="L11" s="102">
        <v>-2044168.63378097</v>
      </c>
      <c r="M11" s="76"/>
      <c r="N11" s="104"/>
    </row>
    <row r="12" spans="2:14">
      <c r="B12" s="103" t="s">
        <v>200</v>
      </c>
      <c r="C12" s="97">
        <v>61291579.909999996</v>
      </c>
      <c r="D12" s="98">
        <v>59613086.600000001</v>
      </c>
      <c r="E12" s="99">
        <v>57950516</v>
      </c>
      <c r="F12" s="100">
        <v>60766832</v>
      </c>
      <c r="G12" s="101">
        <v>58847835.254535124</v>
      </c>
      <c r="H12" s="101">
        <v>57007503.686256625</v>
      </c>
      <c r="I12" s="101">
        <v>58162240.210162334</v>
      </c>
      <c r="J12" s="101">
        <v>59748078.369659506</v>
      </c>
      <c r="K12" s="102">
        <v>61809667.977005847</v>
      </c>
      <c r="L12" s="102">
        <v>61034933.966092303</v>
      </c>
      <c r="M12" s="76"/>
      <c r="N12" s="83"/>
    </row>
    <row r="13" spans="2:14">
      <c r="B13" s="103" t="s">
        <v>201</v>
      </c>
      <c r="C13" s="105">
        <v>4257958.4599999981</v>
      </c>
      <c r="D13" s="106">
        <v>3675081.48</v>
      </c>
      <c r="E13" s="107">
        <v>5939286</v>
      </c>
      <c r="F13" s="108">
        <v>11818328.000000002</v>
      </c>
      <c r="G13" s="109">
        <v>11391467.711325336</v>
      </c>
      <c r="H13" s="109">
        <v>11505382.388438594</v>
      </c>
      <c r="I13" s="109">
        <v>11620436.212322976</v>
      </c>
      <c r="J13" s="109">
        <v>11736640.574446207</v>
      </c>
      <c r="K13" s="110">
        <v>11854006.98019067</v>
      </c>
      <c r="L13" s="110" t="e">
        <f>'E IS'!#REF!*1000</f>
        <v>#REF!</v>
      </c>
      <c r="M13" s="76"/>
      <c r="N13" s="83"/>
    </row>
    <row r="14" spans="2:14">
      <c r="B14" s="90" t="s">
        <v>202</v>
      </c>
      <c r="C14" s="97">
        <v>28980961.239999998</v>
      </c>
      <c r="D14" s="98">
        <v>32912613.390000012</v>
      </c>
      <c r="E14" s="99">
        <v>36093115</v>
      </c>
      <c r="F14" s="100">
        <v>25811666</v>
      </c>
      <c r="G14" s="101">
        <v>24014812.436999999</v>
      </c>
      <c r="H14" s="101">
        <v>27411696.089870006</v>
      </c>
      <c r="I14" s="101">
        <v>25914262.422768712</v>
      </c>
      <c r="J14" s="101">
        <v>23975010.812246434</v>
      </c>
      <c r="K14" s="102">
        <v>23232532.412056357</v>
      </c>
      <c r="L14" s="102" t="e">
        <f>('E IS'!#REF!+'E IS'!#REF!)*1000</f>
        <v>#REF!</v>
      </c>
      <c r="M14" s="76"/>
      <c r="N14" s="83"/>
    </row>
    <row r="15" spans="2:14">
      <c r="B15" s="90" t="s">
        <v>203</v>
      </c>
      <c r="C15" s="97">
        <v>-6107818.5</v>
      </c>
      <c r="D15" s="98">
        <v>-3573221.8199999556</v>
      </c>
      <c r="E15" s="99">
        <v>14830048</v>
      </c>
      <c r="F15" s="100">
        <v>12260117.430000007</v>
      </c>
      <c r="G15" s="101">
        <v>67826382</v>
      </c>
      <c r="H15" s="101">
        <v>32494239.549999993</v>
      </c>
      <c r="I15" s="101">
        <v>-5876624.2634999789</v>
      </c>
      <c r="J15" s="101">
        <v>-5806334.811405017</v>
      </c>
      <c r="K15" s="102">
        <v>-5733936.675747144</v>
      </c>
      <c r="L15" s="102">
        <v>-5659366.5960195679</v>
      </c>
      <c r="M15" s="76"/>
    </row>
    <row r="16" spans="2:14">
      <c r="B16" s="90" t="s">
        <v>204</v>
      </c>
      <c r="C16" s="97">
        <v>0</v>
      </c>
      <c r="D16" s="98">
        <v>-29372865.219999999</v>
      </c>
      <c r="E16" s="99">
        <v>48399792</v>
      </c>
      <c r="F16" s="100">
        <v>27224672</v>
      </c>
      <c r="G16" s="101">
        <v>-48846855.314452358</v>
      </c>
      <c r="H16" s="101">
        <v>-1277054.0318863578</v>
      </c>
      <c r="I16" s="101">
        <v>-3676903.8431966049</v>
      </c>
      <c r="J16" s="101">
        <v>-6608255.5776452357</v>
      </c>
      <c r="K16" s="102">
        <v>-3440015.6521373866</v>
      </c>
      <c r="L16" s="102">
        <v>10558038.886821425</v>
      </c>
      <c r="M16" s="76"/>
      <c r="N16" s="83"/>
    </row>
    <row r="17" spans="2:14" hidden="1">
      <c r="B17" s="90" t="s">
        <v>205</v>
      </c>
      <c r="C17" s="97"/>
      <c r="D17" s="98"/>
      <c r="E17" s="99"/>
      <c r="F17" s="100"/>
      <c r="G17" s="101"/>
      <c r="H17" s="101"/>
      <c r="I17" s="101"/>
      <c r="J17" s="101"/>
      <c r="K17" s="102"/>
      <c r="L17" s="102"/>
      <c r="M17" s="76"/>
    </row>
    <row r="18" spans="2:14" hidden="1">
      <c r="B18" s="90" t="s">
        <v>206</v>
      </c>
      <c r="C18" s="97"/>
      <c r="D18" s="98"/>
      <c r="E18" s="99"/>
      <c r="F18" s="100"/>
      <c r="G18" s="101"/>
      <c r="H18" s="101"/>
      <c r="I18" s="101"/>
      <c r="J18" s="101"/>
      <c r="K18" s="102"/>
      <c r="L18" s="102"/>
      <c r="M18" s="76"/>
    </row>
    <row r="19" spans="2:14" ht="16.5" thickBot="1">
      <c r="B19" s="111" t="s">
        <v>207</v>
      </c>
      <c r="C19" s="112">
        <v>1313618357.6862006</v>
      </c>
      <c r="D19" s="113">
        <f t="shared" ref="D19:K19" si="0">SUM(D6:D18)</f>
        <v>1243965509.6399999</v>
      </c>
      <c r="E19" s="114">
        <f t="shared" ref="E19" si="1">SUM(E6:E18)</f>
        <v>1312175932</v>
      </c>
      <c r="F19" s="115">
        <f>SUM(F6:F18)</f>
        <v>1312473581</v>
      </c>
      <c r="G19" s="116">
        <f>SUM(G6:G18)</f>
        <v>1254558029.5570455</v>
      </c>
      <c r="H19" s="116">
        <f t="shared" si="0"/>
        <v>1229282986.6612239</v>
      </c>
      <c r="I19" s="116">
        <f t="shared" si="0"/>
        <v>1210638119.1947198</v>
      </c>
      <c r="J19" s="116">
        <f t="shared" si="0"/>
        <v>1240383243.7101429</v>
      </c>
      <c r="K19" s="117">
        <f t="shared" si="0"/>
        <v>1284912964.8200495</v>
      </c>
      <c r="L19" s="117" t="e">
        <f>SUM(L6:L18)</f>
        <v>#REF!</v>
      </c>
      <c r="M19" s="76"/>
    </row>
    <row r="20" spans="2:14" ht="16.5" thickBot="1">
      <c r="B20" s="84" t="s">
        <v>208</v>
      </c>
      <c r="C20" s="118"/>
      <c r="D20" s="119"/>
      <c r="E20" s="120"/>
      <c r="F20" s="267"/>
      <c r="G20" s="268"/>
      <c r="H20" s="268"/>
      <c r="I20" s="268"/>
      <c r="J20" s="268"/>
      <c r="K20" s="269"/>
      <c r="L20" s="121"/>
      <c r="M20" s="76"/>
    </row>
    <row r="21" spans="2:14">
      <c r="B21" s="103" t="s">
        <v>209</v>
      </c>
      <c r="C21" s="97">
        <v>191017999.99999997</v>
      </c>
      <c r="D21" s="98">
        <v>189793583.82999998</v>
      </c>
      <c r="E21" s="99">
        <v>199511249</v>
      </c>
      <c r="F21" s="100">
        <v>222514422</v>
      </c>
      <c r="G21" s="101">
        <v>277274821.380292</v>
      </c>
      <c r="H21" s="101">
        <v>258272914.37676755</v>
      </c>
      <c r="I21" s="101">
        <v>262659898.37221631</v>
      </c>
      <c r="J21" s="101">
        <v>265256044.58276579</v>
      </c>
      <c r="K21" s="102">
        <v>268602032.96946114</v>
      </c>
      <c r="L21" s="102" t="e">
        <f>'E IS'!#REF!*1000</f>
        <v>#REF!</v>
      </c>
      <c r="M21" s="76"/>
    </row>
    <row r="22" spans="2:14">
      <c r="B22" s="103" t="s">
        <v>210</v>
      </c>
      <c r="C22" s="97">
        <v>486361648.88999999</v>
      </c>
      <c r="D22" s="98">
        <v>246736071</v>
      </c>
      <c r="E22" s="99">
        <v>253203918</v>
      </c>
      <c r="F22" s="100">
        <v>287956270.99999994</v>
      </c>
      <c r="G22" s="101">
        <v>270118771.97569227</v>
      </c>
      <c r="H22" s="101">
        <v>264234064.10401902</v>
      </c>
      <c r="I22" s="101">
        <v>249905019.9970434</v>
      </c>
      <c r="J22" s="101">
        <v>248612410.46351096</v>
      </c>
      <c r="K22" s="102">
        <v>250797649.83924764</v>
      </c>
      <c r="L22" s="102" t="e">
        <f>'E IS'!#REF!*1000</f>
        <v>#REF!</v>
      </c>
      <c r="M22" s="76"/>
    </row>
    <row r="23" spans="2:14">
      <c r="B23" s="103" t="s">
        <v>211</v>
      </c>
      <c r="C23" s="97">
        <v>114804401.64</v>
      </c>
      <c r="D23" s="98">
        <v>251729000</v>
      </c>
      <c r="E23" s="99">
        <v>284436000</v>
      </c>
      <c r="F23" s="100">
        <v>234793139</v>
      </c>
      <c r="G23" s="101">
        <v>173079774.57106042</v>
      </c>
      <c r="H23" s="101">
        <v>192254644.30728903</v>
      </c>
      <c r="I23" s="101">
        <v>254303426.11387888</v>
      </c>
      <c r="J23" s="101">
        <v>298076318.8972609</v>
      </c>
      <c r="K23" s="102">
        <v>311813789.48049945</v>
      </c>
      <c r="L23" s="102" t="e">
        <f>'E IS'!#REF!*1000</f>
        <v>#REF!</v>
      </c>
      <c r="M23" s="76"/>
      <c r="N23" s="104"/>
    </row>
    <row r="24" spans="2:14">
      <c r="B24" s="103" t="s">
        <v>200</v>
      </c>
      <c r="C24" s="97">
        <v>61291579.909999996</v>
      </c>
      <c r="D24" s="98">
        <v>59613086.600000001</v>
      </c>
      <c r="E24" s="99">
        <v>57950516</v>
      </c>
      <c r="F24" s="100">
        <v>60766832</v>
      </c>
      <c r="G24" s="101">
        <v>59042412.833016023</v>
      </c>
      <c r="H24" s="101">
        <v>57208891.479984358</v>
      </c>
      <c r="I24" s="101">
        <v>58370676.576670535</v>
      </c>
      <c r="J24" s="101">
        <v>59963810.008995496</v>
      </c>
      <c r="K24" s="102">
        <v>62032950.223718591</v>
      </c>
      <c r="L24" s="102" t="e">
        <f>'E IS'!#REF!*1000</f>
        <v>#REF!</v>
      </c>
      <c r="M24" s="76"/>
      <c r="N24" s="104"/>
    </row>
    <row r="25" spans="2:14">
      <c r="B25" s="111" t="s">
        <v>187</v>
      </c>
      <c r="C25" s="122">
        <v>853475630.43999994</v>
      </c>
      <c r="D25" s="123">
        <f>SUM(D21:D24)</f>
        <v>747871741.42999995</v>
      </c>
      <c r="E25" s="124">
        <f>SUM(E21:E24)</f>
        <v>795101683</v>
      </c>
      <c r="F25" s="125">
        <f t="shared" ref="F25:K25" si="2">SUM(F21:F24)</f>
        <v>806030664</v>
      </c>
      <c r="G25" s="126">
        <f t="shared" si="2"/>
        <v>779515780.76006067</v>
      </c>
      <c r="H25" s="126">
        <f t="shared" si="2"/>
        <v>771970514.26805997</v>
      </c>
      <c r="I25" s="126">
        <f t="shared" si="2"/>
        <v>825239021.05980909</v>
      </c>
      <c r="J25" s="126">
        <f t="shared" si="2"/>
        <v>871908583.95253325</v>
      </c>
      <c r="K25" s="127">
        <f t="shared" si="2"/>
        <v>893246422.51292682</v>
      </c>
      <c r="L25" s="127" t="e">
        <f>SUM(L21:L24)</f>
        <v>#REF!</v>
      </c>
      <c r="M25" s="76"/>
    </row>
    <row r="26" spans="2:14">
      <c r="B26" s="128" t="s">
        <v>188</v>
      </c>
      <c r="C26" s="122">
        <v>460142727.24620068</v>
      </c>
      <c r="D26" s="123">
        <f t="shared" ref="D26:L26" si="3">+D19-D25</f>
        <v>496093768.20999992</v>
      </c>
      <c r="E26" s="124">
        <f t="shared" si="3"/>
        <v>517074249</v>
      </c>
      <c r="F26" s="125">
        <f t="shared" si="3"/>
        <v>506442917</v>
      </c>
      <c r="G26" s="126">
        <f t="shared" si="3"/>
        <v>475042248.79698479</v>
      </c>
      <c r="H26" s="126">
        <f t="shared" si="3"/>
        <v>457312472.39316392</v>
      </c>
      <c r="I26" s="126">
        <f t="shared" si="3"/>
        <v>385399098.1349107</v>
      </c>
      <c r="J26" s="126">
        <f t="shared" si="3"/>
        <v>368474659.75760961</v>
      </c>
      <c r="K26" s="127">
        <f t="shared" si="3"/>
        <v>391666542.30712271</v>
      </c>
      <c r="L26" s="127" t="e">
        <f t="shared" si="3"/>
        <v>#REF!</v>
      </c>
      <c r="M26" s="76"/>
    </row>
    <row r="27" spans="2:14" ht="16.5" thickBot="1">
      <c r="B27" s="129"/>
      <c r="C27" s="130"/>
      <c r="D27" s="131"/>
      <c r="E27" s="132"/>
      <c r="F27" s="133"/>
      <c r="G27" s="130"/>
      <c r="H27" s="130"/>
      <c r="I27" s="130"/>
      <c r="J27" s="130"/>
      <c r="K27" s="134"/>
      <c r="L27" s="134"/>
      <c r="M27" s="76"/>
      <c r="N27" s="104"/>
    </row>
    <row r="28" spans="2:14" ht="16.5" thickBot="1">
      <c r="B28" s="84" t="s">
        <v>212</v>
      </c>
      <c r="C28" s="135"/>
      <c r="D28" s="136"/>
      <c r="E28" s="137"/>
      <c r="F28" s="270"/>
      <c r="G28" s="271"/>
      <c r="H28" s="271"/>
      <c r="I28" s="271"/>
      <c r="J28" s="271"/>
      <c r="K28" s="272"/>
      <c r="L28" s="138"/>
      <c r="M28" s="76"/>
    </row>
    <row r="29" spans="2:14" hidden="1" outlineLevel="1">
      <c r="B29" s="139" t="s">
        <v>213</v>
      </c>
      <c r="C29" s="105">
        <v>81195048.140479445</v>
      </c>
      <c r="D29" s="106">
        <v>77910561.620000005</v>
      </c>
      <c r="E29" s="107">
        <v>70040803</v>
      </c>
      <c r="F29" s="140">
        <v>70723992.360000014</v>
      </c>
      <c r="G29" s="105">
        <v>75000086.404654652</v>
      </c>
      <c r="H29" s="105">
        <v>88453722.858266413</v>
      </c>
      <c r="I29" s="105">
        <v>66546628.069613263</v>
      </c>
      <c r="J29" s="105">
        <v>64587368.967657007</v>
      </c>
      <c r="K29" s="141">
        <v>67466831.257604569</v>
      </c>
      <c r="L29" s="141" t="e">
        <f t="shared" ref="L29" si="4">L31-L30</f>
        <v>#REF!</v>
      </c>
      <c r="M29" s="72"/>
    </row>
    <row r="30" spans="2:14" hidden="1" outlineLevel="1">
      <c r="B30" s="139" t="s">
        <v>214</v>
      </c>
      <c r="C30" s="105">
        <v>-1632229.2834974683</v>
      </c>
      <c r="D30" s="106">
        <v>-2603000</v>
      </c>
      <c r="E30" s="107">
        <v>-1864287</v>
      </c>
      <c r="F30" s="140">
        <v>-2114189</v>
      </c>
      <c r="G30" s="105">
        <v>-1234521.7511746627</v>
      </c>
      <c r="H30" s="105">
        <v>-1246866.9686864095</v>
      </c>
      <c r="I30" s="105">
        <v>-1259335.6383732734</v>
      </c>
      <c r="J30" s="105">
        <v>-1271928.9947570062</v>
      </c>
      <c r="K30" s="141">
        <v>-1284648.284704576</v>
      </c>
      <c r="L30" s="141" t="e">
        <f>'E IS'!#REF!*1000</f>
        <v>#REF!</v>
      </c>
      <c r="M30" s="76"/>
    </row>
    <row r="31" spans="2:14" hidden="1" outlineLevel="1">
      <c r="B31" s="139" t="s">
        <v>215</v>
      </c>
      <c r="C31" s="105">
        <v>79562818.856981978</v>
      </c>
      <c r="D31" s="106">
        <v>75307561.620000005</v>
      </c>
      <c r="E31" s="107">
        <v>68609803</v>
      </c>
      <c r="F31" s="140">
        <v>68609803.360000014</v>
      </c>
      <c r="G31" s="105">
        <v>73765564.653479993</v>
      </c>
      <c r="H31" s="105">
        <v>87206855.889579996</v>
      </c>
      <c r="I31" s="105">
        <v>65287292.431239992</v>
      </c>
      <c r="J31" s="105">
        <v>63315439.972900003</v>
      </c>
      <c r="K31" s="141">
        <v>66182182.972899996</v>
      </c>
      <c r="L31" s="141">
        <v>67281382.972899988</v>
      </c>
      <c r="M31" s="76"/>
    </row>
    <row r="32" spans="2:14" hidden="1" outlineLevel="1">
      <c r="B32" s="139" t="s">
        <v>216</v>
      </c>
      <c r="C32" s="105">
        <v>96215669.686164379</v>
      </c>
      <c r="D32" s="106">
        <v>96335438.379999995</v>
      </c>
      <c r="E32" s="107">
        <v>135822197</v>
      </c>
      <c r="F32" s="140">
        <v>111878276.63999999</v>
      </c>
      <c r="G32" s="105">
        <v>46016714.950715333</v>
      </c>
      <c r="H32" s="105">
        <v>31674548.09233357</v>
      </c>
      <c r="I32" s="105">
        <v>42174083.203726724</v>
      </c>
      <c r="J32" s="105">
        <v>14157375.431472987</v>
      </c>
      <c r="K32" s="141">
        <v>23784116.762742929</v>
      </c>
      <c r="L32" s="141" t="e">
        <f>'E IS'!#REF!*1000-'E DSC Summary'!L31</f>
        <v>#REF!</v>
      </c>
      <c r="M32" s="76"/>
    </row>
    <row r="33" spans="2:13" hidden="1" outlineLevel="1">
      <c r="B33" s="139" t="s">
        <v>217</v>
      </c>
      <c r="C33" s="105">
        <v>175778488.54314637</v>
      </c>
      <c r="D33" s="106">
        <v>171643000</v>
      </c>
      <c r="E33" s="107">
        <f>SUM(E31:E32)</f>
        <v>204432000</v>
      </c>
      <c r="F33" s="140">
        <v>180488080</v>
      </c>
      <c r="G33" s="105">
        <v>119782279.60419533</v>
      </c>
      <c r="H33" s="105">
        <v>118881403.98191357</v>
      </c>
      <c r="I33" s="105">
        <v>107461375.63496672</v>
      </c>
      <c r="J33" s="105">
        <v>77472815.40437299</v>
      </c>
      <c r="K33" s="141">
        <v>89966299.735642925</v>
      </c>
      <c r="L33" s="141" t="e">
        <f>+L31+L32</f>
        <v>#REF!</v>
      </c>
      <c r="M33" s="76"/>
    </row>
    <row r="34" spans="2:13" collapsed="1">
      <c r="B34" s="139" t="s">
        <v>218</v>
      </c>
      <c r="C34" s="105">
        <v>95054000.000000045</v>
      </c>
      <c r="D34" s="106">
        <v>96195000.000000015</v>
      </c>
      <c r="E34" s="107">
        <v>129900000</v>
      </c>
      <c r="F34" s="140">
        <v>116230000</v>
      </c>
      <c r="G34" s="105">
        <v>60790000</v>
      </c>
      <c r="H34" s="105">
        <v>59140000</v>
      </c>
      <c r="I34" s="105">
        <v>44710000</v>
      </c>
      <c r="J34" s="105">
        <v>16780000</v>
      </c>
      <c r="K34" s="141">
        <v>29935000</v>
      </c>
      <c r="L34" s="141">
        <v>139170000</v>
      </c>
      <c r="M34" s="76"/>
    </row>
    <row r="35" spans="2:13">
      <c r="B35" s="139" t="s">
        <v>219</v>
      </c>
      <c r="C35" s="105">
        <v>82356717.826643839</v>
      </c>
      <c r="D35" s="106">
        <v>78049989.843630522</v>
      </c>
      <c r="E35" s="107">
        <v>75963793</v>
      </c>
      <c r="F35" s="140">
        <v>69901808.620000005</v>
      </c>
      <c r="G35" s="105">
        <v>63756341.649999991</v>
      </c>
      <c r="H35" s="105">
        <v>64463416.649999991</v>
      </c>
      <c r="I35" s="105">
        <v>67447010.149999991</v>
      </c>
      <c r="J35" s="105">
        <v>65339066.099999994</v>
      </c>
      <c r="K35" s="141">
        <v>64625747.949999988</v>
      </c>
      <c r="L35" s="141">
        <v>144384202</v>
      </c>
      <c r="M35" s="76"/>
    </row>
    <row r="36" spans="2:13">
      <c r="B36" s="139" t="s">
        <v>220</v>
      </c>
      <c r="C36" s="105"/>
      <c r="D36" s="106"/>
      <c r="E36" s="107"/>
      <c r="F36" s="100">
        <v>-5643728.9999999991</v>
      </c>
      <c r="G36" s="101">
        <v>-4764062.0458046636</v>
      </c>
      <c r="H36" s="101">
        <v>-4722012.6680864096</v>
      </c>
      <c r="I36" s="101">
        <v>-4695634.515033274</v>
      </c>
      <c r="J36" s="101">
        <v>-4646250.6956270067</v>
      </c>
      <c r="K36" s="102">
        <v>-4594448.2143570762</v>
      </c>
      <c r="L36" s="141"/>
      <c r="M36" s="76"/>
    </row>
    <row r="37" spans="2:13">
      <c r="B37" s="142" t="s">
        <v>221</v>
      </c>
      <c r="C37" s="122">
        <v>175778488.54314637</v>
      </c>
      <c r="D37" s="143">
        <v>171643000</v>
      </c>
      <c r="E37" s="144">
        <v>204432000</v>
      </c>
      <c r="F37" s="125">
        <f>SUM(F34:F36)</f>
        <v>180488079.62</v>
      </c>
      <c r="G37" s="126">
        <f t="shared" ref="G37:K37" si="5">SUM(G34:G36)</f>
        <v>119782279.60419533</v>
      </c>
      <c r="H37" s="126">
        <f t="shared" si="5"/>
        <v>118881403.98191358</v>
      </c>
      <c r="I37" s="126">
        <f t="shared" si="5"/>
        <v>107461375.63496672</v>
      </c>
      <c r="J37" s="126">
        <f t="shared" si="5"/>
        <v>77472815.40437299</v>
      </c>
      <c r="K37" s="127">
        <f t="shared" si="5"/>
        <v>89966299.73564291</v>
      </c>
      <c r="L37" s="145" t="e">
        <f t="shared" ref="L37" si="6">+L31+L32</f>
        <v>#REF!</v>
      </c>
      <c r="M37" s="76"/>
    </row>
    <row r="38" spans="2:13">
      <c r="B38" s="146" t="s">
        <v>222</v>
      </c>
      <c r="C38" s="147">
        <v>90108597.986666664</v>
      </c>
      <c r="D38" s="148">
        <v>103720182</v>
      </c>
      <c r="E38" s="149">
        <v>92270692</v>
      </c>
      <c r="F38" s="150">
        <f>-'E IS'!B42*1000</f>
        <v>92952147</v>
      </c>
      <c r="G38" s="151">
        <f>-'E IS'!C42*1000</f>
        <v>93865674.2645493</v>
      </c>
      <c r="H38" s="151">
        <f>-'E IS'!D42*1000</f>
        <v>93693487.930031016</v>
      </c>
      <c r="I38" s="151">
        <f>-'E IS'!E42*1000</f>
        <v>94320155.76486367</v>
      </c>
      <c r="J38" s="151">
        <f>-'E IS'!F42*1000</f>
        <v>94947381.464109302</v>
      </c>
      <c r="K38" s="152">
        <f>-'E IS'!G42*1000</f>
        <v>95575090.296098635</v>
      </c>
      <c r="L38" s="152" t="e">
        <f>-'E IS'!#REF!*1000</f>
        <v>#REF!</v>
      </c>
      <c r="M38" s="76"/>
    </row>
    <row r="39" spans="2:13" hidden="1">
      <c r="B39" s="153" t="s">
        <v>223</v>
      </c>
      <c r="C39" s="154">
        <v>5.7833889479623579</v>
      </c>
      <c r="D39" s="155">
        <v>6.5875691303520911</v>
      </c>
      <c r="E39" s="156">
        <f>E26/E31</f>
        <v>7.5364485305401621</v>
      </c>
      <c r="F39" s="157">
        <f t="shared" ref="F39:L39" si="7">+F26/F31</f>
        <v>7.3814949496744902</v>
      </c>
      <c r="G39" s="158">
        <f t="shared" si="7"/>
        <v>6.4398917167995133</v>
      </c>
      <c r="H39" s="158">
        <f t="shared" si="7"/>
        <v>5.2439967904840659</v>
      </c>
      <c r="I39" s="158">
        <f t="shared" si="7"/>
        <v>5.9031257658725806</v>
      </c>
      <c r="J39" s="158">
        <f t="shared" si="7"/>
        <v>5.8196651545866622</v>
      </c>
      <c r="K39" s="159">
        <f t="shared" si="7"/>
        <v>5.918005794210516</v>
      </c>
      <c r="L39" s="159" t="e">
        <f t="shared" si="7"/>
        <v>#REF!</v>
      </c>
      <c r="M39" s="76"/>
    </row>
    <row r="40" spans="2:13">
      <c r="B40" s="160" t="s">
        <v>224</v>
      </c>
      <c r="C40" s="158">
        <v>2.6177419720687531</v>
      </c>
      <c r="D40" s="155">
        <v>2.8902650746607779</v>
      </c>
      <c r="E40" s="156">
        <f>E26/E37</f>
        <v>2.529321480981451</v>
      </c>
      <c r="F40" s="157">
        <f t="shared" ref="F40:L40" si="8">+F26/F37</f>
        <v>2.8059632418177753</v>
      </c>
      <c r="G40" s="158">
        <f t="shared" si="8"/>
        <v>3.9658808495438471</v>
      </c>
      <c r="H40" s="158">
        <f t="shared" si="8"/>
        <v>3.8467956894481046</v>
      </c>
      <c r="I40" s="158">
        <f t="shared" si="8"/>
        <v>3.5863964690352073</v>
      </c>
      <c r="J40" s="158">
        <f t="shared" si="8"/>
        <v>4.7561800592161116</v>
      </c>
      <c r="K40" s="159">
        <f t="shared" si="8"/>
        <v>4.3534806194985922</v>
      </c>
      <c r="L40" s="159" t="e">
        <f t="shared" si="8"/>
        <v>#REF!</v>
      </c>
      <c r="M40" s="76"/>
    </row>
    <row r="41" spans="2:13">
      <c r="B41" s="160" t="s">
        <v>225</v>
      </c>
      <c r="C41" s="158">
        <v>2.1051161170310433</v>
      </c>
      <c r="D41" s="155">
        <v>2.2859865314053001</v>
      </c>
      <c r="E41" s="156">
        <f>(E26-E38)/E37</f>
        <v>2.0779699704547232</v>
      </c>
      <c r="F41" s="157">
        <f t="shared" ref="F41:L41" si="9">(F26-F38)/F37</f>
        <v>2.2909588869833639</v>
      </c>
      <c r="G41" s="158">
        <f t="shared" si="9"/>
        <v>3.1822451183262079</v>
      </c>
      <c r="H41" s="158">
        <f t="shared" si="9"/>
        <v>3.0586700045909057</v>
      </c>
      <c r="I41" s="158">
        <f t="shared" si="9"/>
        <v>2.7086843123878013</v>
      </c>
      <c r="J41" s="158">
        <f t="shared" si="9"/>
        <v>3.5306226689428009</v>
      </c>
      <c r="K41" s="159">
        <f t="shared" si="9"/>
        <v>3.2911373801196619</v>
      </c>
      <c r="L41" s="159" t="e">
        <f t="shared" si="9"/>
        <v>#REF!</v>
      </c>
      <c r="M41" s="76"/>
    </row>
    <row r="42" spans="2:13">
      <c r="B42" s="161" t="s">
        <v>226</v>
      </c>
      <c r="C42" s="162">
        <v>1.6476445759508711</v>
      </c>
      <c r="D42" s="163">
        <v>1.9735552831466432</v>
      </c>
      <c r="E42" s="164">
        <v>1.86</v>
      </c>
      <c r="F42" s="165">
        <f>(F26-F38+F43+F44)/(F37+F43+F44)</f>
        <v>2.0186947154842736</v>
      </c>
      <c r="G42" s="162">
        <f t="shared" ref="G42:L42" si="10">(G26-G38+G43+G44)/(G37+G43+G44)</f>
        <v>2.4863315834328197</v>
      </c>
      <c r="H42" s="162">
        <f t="shared" si="10"/>
        <v>2.3028084779585249</v>
      </c>
      <c r="I42" s="162">
        <f t="shared" si="10"/>
        <v>1.780144974020506</v>
      </c>
      <c r="J42" s="162">
        <f t="shared" si="10"/>
        <v>1.7720921577392561</v>
      </c>
      <c r="K42" s="166">
        <f t="shared" si="10"/>
        <v>1.7530541907955148</v>
      </c>
      <c r="L42" s="162" t="e">
        <f t="shared" si="10"/>
        <v>#REF!</v>
      </c>
      <c r="M42" s="76"/>
    </row>
    <row r="43" spans="2:13">
      <c r="B43" s="167" t="s">
        <v>227</v>
      </c>
      <c r="C43" s="168">
        <v>124163251</v>
      </c>
      <c r="D43" s="169">
        <v>55083298.990000002</v>
      </c>
      <c r="E43" s="170">
        <v>51281045</v>
      </c>
      <c r="F43" s="171">
        <v>34049554</v>
      </c>
      <c r="G43" s="172">
        <v>34475562</v>
      </c>
      <c r="H43" s="172">
        <v>34647362</v>
      </c>
      <c r="I43" s="172">
        <v>35139082</v>
      </c>
      <c r="J43" s="172">
        <v>35045549.5</v>
      </c>
      <c r="K43" s="173">
        <v>31999524.5</v>
      </c>
      <c r="L43" s="173" t="e">
        <f>('E IS'!#REF!+'E IS'!#REF!)*1000</f>
        <v>#REF!</v>
      </c>
      <c r="M43" s="76"/>
    </row>
    <row r="44" spans="2:13">
      <c r="B44" s="174" t="s">
        <v>228</v>
      </c>
      <c r="C44" s="175"/>
      <c r="D44" s="176"/>
      <c r="E44" s="177"/>
      <c r="F44" s="171">
        <v>14189076</v>
      </c>
      <c r="G44" s="172">
        <v>21607556.024324384</v>
      </c>
      <c r="H44" s="172">
        <v>34325077.942036279</v>
      </c>
      <c r="I44" s="172">
        <v>92762933.593205109</v>
      </c>
      <c r="J44" s="172">
        <v>141407880.71789771</v>
      </c>
      <c r="K44" s="173">
        <v>151753059.20571172</v>
      </c>
      <c r="L44" s="173" t="e">
        <f>'E IS'!#REF!*1000</f>
        <v>#REF!</v>
      </c>
      <c r="M44" s="76"/>
    </row>
    <row r="45" spans="2:13">
      <c r="B45" s="183" t="s">
        <v>229</v>
      </c>
      <c r="C45" s="178">
        <v>12434204.763</v>
      </c>
      <c r="D45" s="179">
        <v>12561251</v>
      </c>
      <c r="E45" s="180" t="e">
        <f>SUM(#REF!)</f>
        <v>#REF!</v>
      </c>
      <c r="F45" s="181">
        <v>12366394.988</v>
      </c>
      <c r="G45" s="178">
        <v>12000000</v>
      </c>
      <c r="H45" s="178">
        <v>12000000</v>
      </c>
      <c r="I45" s="178">
        <v>12000000</v>
      </c>
      <c r="J45" s="178">
        <v>12000000</v>
      </c>
      <c r="K45" s="182">
        <v>12000000</v>
      </c>
      <c r="L45" s="182">
        <v>12000000</v>
      </c>
      <c r="M45" s="76"/>
    </row>
    <row r="46" spans="2:13">
      <c r="B46" s="129" t="s">
        <v>230</v>
      </c>
      <c r="C46" s="184">
        <v>2.154244372089641E-2</v>
      </c>
      <c r="D46" s="185">
        <v>1.0217216890693803E-2</v>
      </c>
      <c r="E46" s="186" t="e">
        <f>(E45-D45)/D45</f>
        <v>#REF!</v>
      </c>
      <c r="F46" s="187">
        <v>0</v>
      </c>
      <c r="G46" s="188">
        <f t="shared" ref="G46:L46" si="11">(G45-F45)/F45</f>
        <v>-2.9628277954532361E-2</v>
      </c>
      <c r="H46" s="188">
        <f t="shared" si="11"/>
        <v>0</v>
      </c>
      <c r="I46" s="188">
        <f t="shared" si="11"/>
        <v>0</v>
      </c>
      <c r="J46" s="188">
        <f t="shared" si="11"/>
        <v>0</v>
      </c>
      <c r="K46" s="189">
        <f t="shared" si="11"/>
        <v>0</v>
      </c>
      <c r="L46" s="189">
        <f t="shared" si="11"/>
        <v>0</v>
      </c>
      <c r="M46" s="76"/>
    </row>
    <row r="47" spans="2:13">
      <c r="B47" s="129" t="s">
        <v>231</v>
      </c>
      <c r="C47" s="190">
        <v>83367</v>
      </c>
      <c r="D47" s="190">
        <v>169037</v>
      </c>
      <c r="E47" s="190">
        <v>150635</v>
      </c>
      <c r="F47" s="191">
        <v>99563</v>
      </c>
      <c r="G47" s="190">
        <v>150200</v>
      </c>
      <c r="H47" s="190">
        <v>158700</v>
      </c>
      <c r="I47" s="190">
        <v>188900</v>
      </c>
      <c r="J47" s="190">
        <v>245500</v>
      </c>
      <c r="K47" s="192">
        <v>267600</v>
      </c>
      <c r="L47" s="192">
        <v>267600</v>
      </c>
      <c r="M47" s="76"/>
    </row>
    <row r="48" spans="2:13" ht="16.5" thickBot="1">
      <c r="B48" s="193" t="s">
        <v>232</v>
      </c>
      <c r="C48" s="194">
        <v>12517571.763</v>
      </c>
      <c r="D48" s="194">
        <v>12730288</v>
      </c>
      <c r="E48" s="194" t="e">
        <f>E45+E47</f>
        <v>#REF!</v>
      </c>
      <c r="F48" s="195">
        <f t="shared" ref="F48:L48" si="12">F45+F47</f>
        <v>12465957.988</v>
      </c>
      <c r="G48" s="194">
        <f t="shared" si="12"/>
        <v>12150200</v>
      </c>
      <c r="H48" s="194">
        <f t="shared" si="12"/>
        <v>12158700</v>
      </c>
      <c r="I48" s="194">
        <f t="shared" si="12"/>
        <v>12188900</v>
      </c>
      <c r="J48" s="194">
        <f t="shared" si="12"/>
        <v>12245500</v>
      </c>
      <c r="K48" s="196">
        <f t="shared" si="12"/>
        <v>12267600</v>
      </c>
      <c r="L48" s="196">
        <f t="shared" si="12"/>
        <v>12267600</v>
      </c>
      <c r="M48" s="76"/>
    </row>
    <row r="49" spans="2:12">
      <c r="B49" s="197"/>
      <c r="C49" s="198"/>
      <c r="D49" s="198"/>
      <c r="E49" s="198"/>
      <c r="F49" s="198"/>
      <c r="G49" s="198"/>
      <c r="H49" s="198"/>
      <c r="I49" s="198"/>
      <c r="J49" s="190"/>
      <c r="K49" s="190"/>
      <c r="L49" s="76"/>
    </row>
    <row r="50" spans="2:12">
      <c r="C50" s="199"/>
      <c r="D50" s="199"/>
      <c r="E50" s="199"/>
      <c r="F50" s="199"/>
      <c r="G50" s="199"/>
      <c r="H50" s="199"/>
      <c r="I50" s="199"/>
      <c r="J50" s="200"/>
      <c r="K50" s="200"/>
      <c r="L50" s="200"/>
    </row>
    <row r="51" spans="2:12">
      <c r="C51" s="199"/>
      <c r="D51" s="199"/>
      <c r="E51" s="199"/>
      <c r="F51" s="199"/>
      <c r="G51" s="199"/>
      <c r="H51" s="199"/>
      <c r="I51" s="199"/>
      <c r="J51" s="199"/>
      <c r="K51" s="199"/>
      <c r="L51" s="199"/>
    </row>
    <row r="52" spans="2:12">
      <c r="C52" s="199"/>
      <c r="D52" s="199"/>
      <c r="E52" s="199"/>
      <c r="F52" s="199"/>
      <c r="G52" s="199"/>
      <c r="H52" s="199"/>
      <c r="I52" s="199"/>
      <c r="J52" s="199"/>
      <c r="K52" s="199"/>
      <c r="L52" s="199"/>
    </row>
    <row r="53" spans="2:12">
      <c r="C53" s="198"/>
      <c r="D53" s="198"/>
      <c r="E53" s="198"/>
      <c r="F53" s="198"/>
      <c r="G53" s="198"/>
      <c r="H53" s="198"/>
      <c r="I53" s="198"/>
      <c r="J53" s="198"/>
      <c r="K53" s="198"/>
      <c r="L53" s="198"/>
    </row>
    <row r="54" spans="2:12">
      <c r="C54" s="198"/>
      <c r="D54" s="198"/>
      <c r="E54" s="198"/>
      <c r="F54" s="198"/>
      <c r="G54" s="198"/>
      <c r="H54" s="198"/>
      <c r="I54" s="198"/>
      <c r="J54" s="198"/>
      <c r="K54" s="198"/>
      <c r="L54" s="198"/>
    </row>
    <row r="55" spans="2:12">
      <c r="C55" s="198"/>
      <c r="D55" s="198"/>
      <c r="E55" s="198"/>
      <c r="F55" s="198"/>
      <c r="G55" s="198"/>
      <c r="H55" s="198"/>
      <c r="I55" s="198"/>
      <c r="J55" s="198"/>
      <c r="K55" s="198"/>
      <c r="L55" s="198"/>
    </row>
    <row r="56" spans="2:12">
      <c r="C56" s="198"/>
      <c r="D56" s="198"/>
      <c r="E56" s="198"/>
      <c r="F56" s="198"/>
      <c r="G56" s="198"/>
      <c r="H56" s="198"/>
      <c r="I56" s="198"/>
      <c r="J56" s="198"/>
      <c r="K56" s="198"/>
      <c r="L56" s="198"/>
    </row>
    <row r="57" spans="2:12">
      <c r="C57" s="198"/>
      <c r="D57" s="198"/>
      <c r="E57" s="198"/>
      <c r="F57" s="198"/>
      <c r="G57" s="198"/>
      <c r="H57" s="198"/>
      <c r="I57" s="198"/>
      <c r="J57" s="198"/>
      <c r="K57" s="198"/>
      <c r="L57" s="198"/>
    </row>
    <row r="58" spans="2:12">
      <c r="C58" s="198"/>
      <c r="D58" s="198"/>
      <c r="E58" s="198"/>
      <c r="F58" s="198"/>
      <c r="G58" s="198"/>
      <c r="H58" s="198"/>
      <c r="I58" s="198"/>
      <c r="J58" s="198"/>
      <c r="K58" s="198"/>
      <c r="L58" s="198"/>
    </row>
    <row r="59" spans="2:12">
      <c r="C59" s="198"/>
      <c r="D59" s="198"/>
      <c r="E59" s="198"/>
      <c r="F59" s="198"/>
      <c r="G59" s="198"/>
      <c r="H59" s="198"/>
      <c r="I59" s="198"/>
      <c r="J59" s="198"/>
      <c r="K59" s="198"/>
      <c r="L59" s="198"/>
    </row>
    <row r="60" spans="2:12">
      <c r="C60" s="198"/>
      <c r="D60" s="198"/>
      <c r="E60" s="198"/>
      <c r="F60" s="198"/>
      <c r="G60" s="198"/>
      <c r="H60" s="198"/>
      <c r="I60" s="198"/>
      <c r="J60" s="198"/>
      <c r="K60" s="198"/>
      <c r="L60" s="198"/>
    </row>
    <row r="61" spans="2:12">
      <c r="C61" s="198"/>
      <c r="D61" s="198"/>
      <c r="E61" s="198"/>
      <c r="F61" s="198"/>
      <c r="G61" s="198"/>
      <c r="H61" s="198"/>
      <c r="I61" s="198"/>
      <c r="J61" s="198"/>
      <c r="K61" s="198"/>
      <c r="L61" s="198"/>
    </row>
    <row r="62" spans="2:12">
      <c r="C62" s="198"/>
      <c r="D62" s="198"/>
      <c r="E62" s="198"/>
      <c r="F62" s="198"/>
      <c r="G62" s="198"/>
      <c r="H62" s="198"/>
      <c r="I62" s="198"/>
      <c r="J62" s="198"/>
      <c r="K62" s="198"/>
      <c r="L62" s="198"/>
    </row>
    <row r="63" spans="2:12">
      <c r="C63" s="198"/>
      <c r="D63" s="198"/>
      <c r="E63" s="198"/>
      <c r="F63" s="198"/>
      <c r="G63" s="198"/>
      <c r="H63" s="198"/>
      <c r="I63" s="198"/>
      <c r="J63" s="198"/>
      <c r="K63" s="198"/>
      <c r="L63" s="198"/>
    </row>
  </sheetData>
  <printOptions horizontalCentered="1" gridLines="1"/>
  <pageMargins left="0.28999999999999998" right="0.25" top="0.77" bottom="0.5" header="0.22" footer="0.5"/>
  <pageSetup paperSize="3" scale="72" orientation="landscape" r:id="rId1"/>
  <headerFooter alignWithMargins="0"/>
  <ignoredErrors>
    <ignoredError sqref="F37:K37" formulaRange="1"/>
    <ignoredError sqref="F19:K19 F38:K38" formulaRange="1" unlockedFormula="1"/>
    <ignoredError sqref="F48:K48 G46:K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Assumptions </vt:lpstr>
      <vt:lpstr>E BS</vt:lpstr>
      <vt:lpstr>E IS</vt:lpstr>
      <vt:lpstr>E CF - Acctg</vt:lpstr>
      <vt:lpstr>E DSC Summary</vt:lpstr>
      <vt:lpstr>'Assumptions '!Print_Area</vt:lpstr>
      <vt:lpstr>'E CF - Acctg'!Print_Area</vt:lpstr>
      <vt:lpstr>'E IS'!Print_Area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JEA User</cp:lastModifiedBy>
  <cp:lastPrinted>2019-10-23T19:04:00Z</cp:lastPrinted>
  <dcterms:created xsi:type="dcterms:W3CDTF">2019-10-21T17:33:39Z</dcterms:created>
  <dcterms:modified xsi:type="dcterms:W3CDTF">2019-10-23T19:04:06Z</dcterms:modified>
</cp:coreProperties>
</file>